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charts/chart2.xml" ContentType="application/vnd.openxmlformats-officedocument.drawingml.chart+xml"/>
  <Override PartName="/xl/comments6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comments10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charts/chart5.xml" ContentType="application/vnd.openxmlformats-officedocument.drawingml.char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harts/chart3.xml" ContentType="application/vnd.openxmlformats-officedocument.drawingml.chart+xml"/>
  <Override PartName="/xl/comments7.xml" ContentType="application/vnd.openxmlformats-officedocument.spreadsheetml.comment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3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830" yWindow="-180" windowWidth="16695" windowHeight="9450" tabRatio="928" activeTab="1"/>
  </bookViews>
  <sheets>
    <sheet name="Доходы" sheetId="1" r:id="rId1"/>
    <sheet name="Расходы" sheetId="2" r:id="rId2"/>
    <sheet name="Дефицит" sheetId="3" r:id="rId3"/>
    <sheet name="РасчетДоходов" sheetId="4" r:id="rId4"/>
    <sheet name="СВОД смет" sheetId="40" r:id="rId5"/>
    <sheet name="сВДЛ" sheetId="41" r:id="rId6"/>
    <sheet name="рВДЛ" sheetId="7" r:id="rId7"/>
    <sheet name="сДеп" sheetId="42" r:id="rId8"/>
    <sheet name="рДеп" sheetId="9" r:id="rId9"/>
    <sheet name="сКомУсл" sheetId="59" r:id="rId10"/>
    <sheet name="рКомУсл" sheetId="60" r:id="rId11"/>
    <sheet name="сЗП" sheetId="62" r:id="rId12"/>
    <sheet name="рЗП" sheetId="61" r:id="rId13"/>
    <sheet name="сАУП" sheetId="43" r:id="rId14"/>
    <sheet name="рАУП" sheetId="11" r:id="rId15"/>
    <sheet name="сКСП" sheetId="44" r:id="rId16"/>
    <sheet name="рКСП" sheetId="13" r:id="rId17"/>
    <sheet name="сВыборы" sheetId="57" r:id="rId18"/>
    <sheet name="рВыборы" sheetId="58" r:id="rId19"/>
    <sheet name="сРезерв" sheetId="45" r:id="rId20"/>
    <sheet name="рРезерв" sheetId="15" r:id="rId21"/>
    <sheet name="сДругие" sheetId="46" r:id="rId22"/>
    <sheet name="рДругие" sheetId="17" r:id="rId23"/>
    <sheet name="сПВУ" sheetId="47" r:id="rId24"/>
    <sheet name="рПВУ" sheetId="19" r:id="rId25"/>
    <sheet name="сГОиЧС_1" sheetId="49" r:id="rId26"/>
    <sheet name="сГОиЧС_2" sheetId="63" r:id="rId27"/>
    <sheet name="сГОиЧС_3" sheetId="64" r:id="rId28"/>
    <sheet name="рГОиЧС" sheetId="21" r:id="rId29"/>
    <sheet name="сДороги" sheetId="48" r:id="rId30"/>
    <sheet name="рДороги" sheetId="23" r:id="rId31"/>
    <sheet name="сНацЭкон" sheetId="50" r:id="rId32"/>
    <sheet name="рНацЭкон" sheetId="27" r:id="rId33"/>
    <sheet name="сЖилфонд" sheetId="51" r:id="rId34"/>
    <sheet name="рЖилфонд" sheetId="29" r:id="rId35"/>
    <sheet name="сКомХоз" sheetId="52" r:id="rId36"/>
    <sheet name="рКомХоз" sheetId="31" r:id="rId37"/>
    <sheet name="сБлагоуст" sheetId="53" r:id="rId38"/>
    <sheet name="рБлагоус" sheetId="33" r:id="rId39"/>
    <sheet name="сРитуал" sheetId="54" r:id="rId40"/>
    <sheet name="рРитуал" sheetId="35" r:id="rId41"/>
    <sheet name="сПенс" sheetId="55" r:id="rId42"/>
    <sheet name="рПенс" sheetId="37" r:id="rId43"/>
    <sheet name="сНадгроб" sheetId="56" r:id="rId44"/>
    <sheet name="рНадгроб" sheetId="39" r:id="rId45"/>
  </sheets>
  <externalReferences>
    <externalReference r:id="rId46"/>
  </externalReferences>
  <definedNames>
    <definedName name="_xlnm.Print_Area" localSheetId="2">Дефицит!$A$1:$E$17</definedName>
    <definedName name="_xlnm.Print_Area" localSheetId="0">Доходы!$A$1:$E$100</definedName>
    <definedName name="_xlnm.Print_Area" localSheetId="1">Расходы!$A$1:$I$128</definedName>
    <definedName name="_xlnm.Print_Area" localSheetId="13">сАУП!$A$1:$H$67</definedName>
    <definedName name="_xlnm.Print_Area" localSheetId="37">сБлагоуст!#REF!</definedName>
    <definedName name="_xlnm.Print_Area" localSheetId="5">сВДЛ!#REF!</definedName>
    <definedName name="_xlnm.Print_Area" localSheetId="4">'СВОД смет'!$A$1:$H$66</definedName>
    <definedName name="_xlnm.Print_Area" localSheetId="17">сВыборы!#REF!</definedName>
    <definedName name="_xlnm.Print_Area" localSheetId="25">сГОиЧС_1!#REF!</definedName>
    <definedName name="_xlnm.Print_Area" localSheetId="26">сГОиЧС_2!#REF!</definedName>
    <definedName name="_xlnm.Print_Area" localSheetId="27">сГОиЧС_3!#REF!</definedName>
    <definedName name="_xlnm.Print_Area" localSheetId="7">сДеп!#REF!</definedName>
    <definedName name="_xlnm.Print_Area" localSheetId="29">сДороги!#REF!</definedName>
    <definedName name="_xlnm.Print_Area" localSheetId="21">сДругие!#REF!</definedName>
    <definedName name="_xlnm.Print_Area" localSheetId="33">сЖилфонд!#REF!</definedName>
    <definedName name="_xlnm.Print_Area" localSheetId="11">сЗП!$A$1:$H$66</definedName>
    <definedName name="_xlnm.Print_Area" localSheetId="9">сКомУсл!#REF!</definedName>
    <definedName name="_xlnm.Print_Area" localSheetId="35">сКомХоз!#REF!</definedName>
    <definedName name="_xlnm.Print_Area" localSheetId="15">сКСП!#REF!</definedName>
    <definedName name="_xlnm.Print_Area" localSheetId="43">сНадгроб!#REF!</definedName>
    <definedName name="_xlnm.Print_Area" localSheetId="31">сНацЭкон!#REF!</definedName>
    <definedName name="_xlnm.Print_Area" localSheetId="23">сПВУ!#REF!</definedName>
    <definedName name="_xlnm.Print_Area" localSheetId="41">сПенс!#REF!</definedName>
    <definedName name="_xlnm.Print_Area" localSheetId="19">сРезерв!#REF!</definedName>
    <definedName name="_xlnm.Print_Area" localSheetId="39">сРитуал!#REF!</definedName>
  </definedNames>
  <calcPr calcId="114210"/>
  <fileRecoveryPr autoRecover="0"/>
</workbook>
</file>

<file path=xl/calcChain.xml><?xml version="1.0" encoding="utf-8"?>
<calcChain xmlns="http://schemas.openxmlformats.org/spreadsheetml/2006/main">
  <c r="F34" i="60"/>
  <c r="H66" i="48"/>
  <c r="G86" i="2"/>
  <c r="C32" i="1"/>
  <c r="C31"/>
  <c r="C30"/>
  <c r="C35"/>
  <c r="C34"/>
  <c r="C33"/>
  <c r="C43"/>
  <c r="C42"/>
  <c r="C41"/>
  <c r="C40"/>
  <c r="C29"/>
  <c r="K34" i="60"/>
  <c r="F26"/>
  <c r="F41" i="17"/>
  <c r="F34"/>
  <c r="F30" i="60"/>
  <c r="D11" i="1"/>
  <c r="I3"/>
  <c r="I2"/>
  <c r="F10" i="23"/>
  <c r="K25"/>
  <c r="H23"/>
  <c r="C14" i="1"/>
  <c r="C15"/>
  <c r="C16"/>
  <c r="C17"/>
  <c r="C13"/>
  <c r="G22" i="23"/>
  <c r="H22"/>
  <c r="G9" i="21"/>
  <c r="G79" i="17"/>
  <c r="H71"/>
  <c r="H37" i="43"/>
  <c r="H38"/>
  <c r="H39"/>
  <c r="H42"/>
  <c r="H43"/>
  <c r="H36"/>
  <c r="H71" i="61"/>
  <c r="G11"/>
  <c r="H18" i="62"/>
  <c r="H14" i="11"/>
  <c r="H25" i="43"/>
  <c r="H27"/>
  <c r="H26"/>
  <c r="H33"/>
  <c r="H34"/>
  <c r="H32"/>
  <c r="H24"/>
  <c r="D49" i="4"/>
  <c r="D53"/>
  <c r="D30"/>
  <c r="E17"/>
  <c r="E13"/>
  <c r="E12"/>
  <c r="J32" i="19"/>
  <c r="I15"/>
  <c r="H64" i="50"/>
  <c r="H66"/>
  <c r="D61" i="4"/>
  <c r="D68"/>
  <c r="D69"/>
  <c r="B67"/>
  <c r="L17" i="3"/>
  <c r="G110" i="2"/>
  <c r="G111"/>
  <c r="G109"/>
  <c r="H61" i="43"/>
  <c r="H62"/>
  <c r="H63"/>
  <c r="H65"/>
  <c r="I110" i="2"/>
  <c r="H110"/>
  <c r="I98"/>
  <c r="I97"/>
  <c r="I96"/>
  <c r="H98"/>
  <c r="H97"/>
  <c r="H96"/>
  <c r="H66" i="51"/>
  <c r="G101" i="2"/>
  <c r="H65" i="51"/>
  <c r="G98" i="2"/>
  <c r="G97"/>
  <c r="G96"/>
  <c r="I83"/>
  <c r="H83"/>
  <c r="I78"/>
  <c r="I77"/>
  <c r="I76"/>
  <c r="I75"/>
  <c r="H78"/>
  <c r="H77"/>
  <c r="H76"/>
  <c r="H75"/>
  <c r="I74"/>
  <c r="I73"/>
  <c r="I72"/>
  <c r="I71"/>
  <c r="H74"/>
  <c r="H73"/>
  <c r="H72"/>
  <c r="H71"/>
  <c r="H38" i="64"/>
  <c r="H36"/>
  <c r="H65"/>
  <c r="G78" i="2"/>
  <c r="G77"/>
  <c r="G76"/>
  <c r="G75"/>
  <c r="H38" i="63"/>
  <c r="H36"/>
  <c r="H65"/>
  <c r="G74" i="2"/>
  <c r="G73"/>
  <c r="G72"/>
  <c r="G71"/>
  <c r="I70"/>
  <c r="H70"/>
  <c r="I47"/>
  <c r="I46"/>
  <c r="I45"/>
  <c r="H47"/>
  <c r="H46"/>
  <c r="H45"/>
  <c r="H65" i="46"/>
  <c r="G47" i="2"/>
  <c r="G46"/>
  <c r="G45"/>
  <c r="H64" i="40"/>
  <c r="H63" i="46"/>
  <c r="H63" i="47"/>
  <c r="H63" i="51"/>
  <c r="H63" i="40"/>
  <c r="H62"/>
  <c r="H61"/>
  <c r="H58" i="57"/>
  <c r="H58" i="46"/>
  <c r="H58" i="40"/>
  <c r="H57"/>
  <c r="H56"/>
  <c r="H55"/>
  <c r="H54"/>
  <c r="H53" i="43"/>
  <c r="H53" i="40"/>
  <c r="H50" i="55"/>
  <c r="H50" i="40"/>
  <c r="H45" i="54"/>
  <c r="H45" i="40"/>
  <c r="H43"/>
  <c r="H42"/>
  <c r="H41" i="62"/>
  <c r="H41" i="40"/>
  <c r="H40" i="62"/>
  <c r="H40" i="40"/>
  <c r="H39"/>
  <c r="H37"/>
  <c r="H35"/>
  <c r="H33"/>
  <c r="H27"/>
  <c r="H25" i="42"/>
  <c r="H25" i="46"/>
  <c r="H25" i="47"/>
  <c r="H25" i="40"/>
  <c r="H23" i="62"/>
  <c r="H23" i="40"/>
  <c r="H21" i="41"/>
  <c r="H21" i="62"/>
  <c r="H21" i="40"/>
  <c r="H20" i="62"/>
  <c r="H20" i="40"/>
  <c r="H18" i="41"/>
  <c r="H18" i="40"/>
  <c r="H30" i="53"/>
  <c r="H34"/>
  <c r="H67"/>
  <c r="H66"/>
  <c r="H34" i="52"/>
  <c r="H65"/>
  <c r="H34" i="51"/>
  <c r="G12" i="21"/>
  <c r="I66" i="64"/>
  <c r="H60"/>
  <c r="H59"/>
  <c r="H52"/>
  <c r="H49"/>
  <c r="H48"/>
  <c r="H46"/>
  <c r="H44"/>
  <c r="H32"/>
  <c r="H28"/>
  <c r="H26"/>
  <c r="H22"/>
  <c r="H19"/>
  <c r="H17"/>
  <c r="A7"/>
  <c r="F4"/>
  <c r="I66" i="63"/>
  <c r="H60"/>
  <c r="H59"/>
  <c r="H52"/>
  <c r="H49"/>
  <c r="H48"/>
  <c r="H46"/>
  <c r="H44"/>
  <c r="H32"/>
  <c r="H28"/>
  <c r="H26"/>
  <c r="H22"/>
  <c r="H19"/>
  <c r="H17"/>
  <c r="A7"/>
  <c r="F4"/>
  <c r="H70" i="46"/>
  <c r="H38"/>
  <c r="E41" i="17"/>
  <c r="D68" i="1"/>
  <c r="E68"/>
  <c r="D84"/>
  <c r="E84"/>
  <c r="C84"/>
  <c r="D78"/>
  <c r="E78"/>
  <c r="C78"/>
  <c r="E69"/>
  <c r="D69"/>
  <c r="C69"/>
  <c r="E87"/>
  <c r="D87"/>
  <c r="C87"/>
  <c r="E63"/>
  <c r="D63"/>
  <c r="C63"/>
  <c r="D65"/>
  <c r="C65"/>
  <c r="F51" i="11"/>
  <c r="F10" i="35"/>
  <c r="I10" i="33"/>
  <c r="H11"/>
  <c r="H10"/>
  <c r="H10" i="17"/>
  <c r="H11"/>
  <c r="G10"/>
  <c r="G11"/>
  <c r="H40" i="29"/>
  <c r="G40"/>
  <c r="H39"/>
  <c r="F39"/>
  <c r="F38"/>
  <c r="G10" i="27"/>
  <c r="H38" i="29"/>
  <c r="Q33" i="17"/>
  <c r="P33"/>
  <c r="O33"/>
  <c r="N33"/>
  <c r="E42"/>
  <c r="F40"/>
  <c r="F39"/>
  <c r="F38"/>
  <c r="F37"/>
  <c r="F36"/>
  <c r="F35"/>
  <c r="H27"/>
  <c r="H26"/>
  <c r="H25"/>
  <c r="H24"/>
  <c r="H23"/>
  <c r="H22"/>
  <c r="I22"/>
  <c r="H21"/>
  <c r="H20"/>
  <c r="I20"/>
  <c r="H19"/>
  <c r="H18"/>
  <c r="I18"/>
  <c r="H88" i="11"/>
  <c r="G87"/>
  <c r="G89"/>
  <c r="F47"/>
  <c r="F42" i="17"/>
  <c r="I24"/>
  <c r="I29"/>
  <c r="I26"/>
  <c r="M33"/>
  <c r="H28"/>
  <c r="I28"/>
  <c r="H64" i="61"/>
  <c r="H63"/>
  <c r="F56"/>
  <c r="G49"/>
  <c r="G9"/>
  <c r="F18"/>
  <c r="F11"/>
  <c r="I29"/>
  <c r="G30"/>
  <c r="G17"/>
  <c r="G16"/>
  <c r="G25"/>
  <c r="J22"/>
  <c r="H22"/>
  <c r="I22"/>
  <c r="L9" i="7"/>
  <c r="G22" i="61"/>
  <c r="G10"/>
  <c r="N9" i="7"/>
  <c r="L8"/>
  <c r="J8"/>
  <c r="D214" i="4"/>
  <c r="E202"/>
  <c r="E201"/>
  <c r="F201"/>
  <c r="D221"/>
  <c r="G179"/>
  <c r="D179"/>
  <c r="G180"/>
  <c r="D160"/>
  <c r="D180"/>
  <c r="G181"/>
  <c r="D114"/>
  <c r="D127"/>
  <c r="J71"/>
  <c r="N53"/>
  <c r="F52"/>
  <c r="F51"/>
  <c r="F50"/>
  <c r="F49"/>
  <c r="E52"/>
  <c r="E51"/>
  <c r="E50"/>
  <c r="E49"/>
  <c r="D52"/>
  <c r="D51"/>
  <c r="D50"/>
  <c r="D28"/>
  <c r="F16"/>
  <c r="D29"/>
  <c r="I115" i="2"/>
  <c r="H115"/>
  <c r="D38" i="1"/>
  <c r="D37"/>
  <c r="D36"/>
  <c r="E38"/>
  <c r="E37"/>
  <c r="E36"/>
  <c r="C38"/>
  <c r="C37"/>
  <c r="G23" i="29"/>
  <c r="G10"/>
  <c r="F80" i="11"/>
  <c r="F53"/>
  <c r="F32"/>
  <c r="F64" i="61"/>
  <c r="I33" i="11"/>
  <c r="F33"/>
  <c r="H33"/>
  <c r="H10" i="27"/>
  <c r="I36" i="33"/>
  <c r="J36"/>
  <c r="G18" i="7"/>
  <c r="G9"/>
  <c r="G10"/>
  <c r="J37" i="33"/>
  <c r="G116" i="2"/>
  <c r="G115"/>
  <c r="I37" i="33"/>
  <c r="F10" i="7"/>
  <c r="G81" i="11"/>
  <c r="H81"/>
  <c r="G81" i="17"/>
  <c r="H81"/>
  <c r="H31" i="46"/>
  <c r="H30"/>
  <c r="H29"/>
  <c r="C150" i="4"/>
  <c r="F150"/>
  <c r="N150"/>
  <c r="G80" i="17"/>
  <c r="H80"/>
  <c r="H113" i="2"/>
  <c r="H112"/>
  <c r="I113"/>
  <c r="I112"/>
  <c r="I28" i="33"/>
  <c r="I29"/>
  <c r="H63" i="11"/>
  <c r="I63"/>
  <c r="H61"/>
  <c r="I61"/>
  <c r="H62"/>
  <c r="I62"/>
  <c r="O25" i="60"/>
  <c r="P25"/>
  <c r="Q25"/>
  <c r="N25"/>
  <c r="J28" i="33"/>
  <c r="J29"/>
  <c r="G114" i="2"/>
  <c r="G113"/>
  <c r="G112"/>
  <c r="F28" i="60"/>
  <c r="E50" i="1"/>
  <c r="D50"/>
  <c r="C50"/>
  <c r="E52"/>
  <c r="D52"/>
  <c r="C52"/>
  <c r="F19" i="7"/>
  <c r="L53" i="4"/>
  <c r="M53"/>
  <c r="K53"/>
  <c r="H40" i="11"/>
  <c r="I40"/>
  <c r="G18" i="29"/>
  <c r="H23"/>
  <c r="F27" i="60"/>
  <c r="H10" i="29"/>
  <c r="G134" i="2"/>
  <c r="G132"/>
  <c r="H49" i="55"/>
  <c r="H65"/>
  <c r="G128" i="2"/>
  <c r="H59"/>
  <c r="I59"/>
  <c r="H16" i="45"/>
  <c r="H65"/>
  <c r="G42" i="2"/>
  <c r="H47" i="44"/>
  <c r="H65"/>
  <c r="G34" i="2"/>
  <c r="H38" i="42"/>
  <c r="H36"/>
  <c r="H65"/>
  <c r="G20" i="2"/>
  <c r="I66" i="45"/>
  <c r="H47" i="40"/>
  <c r="I66" i="42"/>
  <c r="I67" i="59"/>
  <c r="I66" i="57"/>
  <c r="I66" i="55"/>
  <c r="I67" i="56"/>
  <c r="I67" i="54"/>
  <c r="H20" i="2"/>
  <c r="I20"/>
  <c r="I68" i="53"/>
  <c r="I66" i="52"/>
  <c r="F23" i="29"/>
  <c r="F10"/>
  <c r="I67" i="48"/>
  <c r="G28" i="23"/>
  <c r="G26"/>
  <c r="A28"/>
  <c r="A17" i="21"/>
  <c r="I66" i="49"/>
  <c r="G21" i="19"/>
  <c r="G9"/>
  <c r="H79" i="17"/>
  <c r="G82"/>
  <c r="H72"/>
  <c r="H82"/>
  <c r="I71"/>
  <c r="I72"/>
  <c r="H34" i="46"/>
  <c r="G10" i="15"/>
  <c r="I66" i="44"/>
  <c r="G10" i="13"/>
  <c r="F4" i="56"/>
  <c r="F4" i="55"/>
  <c r="F4" i="54"/>
  <c r="F4" i="53"/>
  <c r="F4" i="52"/>
  <c r="F4" i="51"/>
  <c r="F4" i="50"/>
  <c r="F4" i="48"/>
  <c r="F4" i="49"/>
  <c r="F4" i="47"/>
  <c r="F4" i="46"/>
  <c r="F4" i="45"/>
  <c r="F4" i="57"/>
  <c r="F4" i="44"/>
  <c r="G94" i="11"/>
  <c r="H94"/>
  <c r="H95"/>
  <c r="H60"/>
  <c r="H64"/>
  <c r="H26"/>
  <c r="G52"/>
  <c r="H52"/>
  <c r="H47"/>
  <c r="H48"/>
  <c r="H49"/>
  <c r="H50"/>
  <c r="H51"/>
  <c r="H53"/>
  <c r="H54"/>
  <c r="H55"/>
  <c r="H56"/>
  <c r="H44"/>
  <c r="H45"/>
  <c r="H46"/>
  <c r="H30"/>
  <c r="G20"/>
  <c r="G21"/>
  <c r="G95"/>
  <c r="H10"/>
  <c r="F4" i="43"/>
  <c r="F4" i="62"/>
  <c r="F50" i="61"/>
  <c r="H60" i="62"/>
  <c r="H59"/>
  <c r="H52"/>
  <c r="H49"/>
  <c r="H46"/>
  <c r="H44"/>
  <c r="H32"/>
  <c r="H28"/>
  <c r="H26"/>
  <c r="A7"/>
  <c r="G77" i="61"/>
  <c r="A77"/>
  <c r="G75"/>
  <c r="H72"/>
  <c r="I64"/>
  <c r="G48"/>
  <c r="G47"/>
  <c r="G46"/>
  <c r="G45"/>
  <c r="G44"/>
  <c r="G43"/>
  <c r="G42"/>
  <c r="G41"/>
  <c r="E17"/>
  <c r="E16"/>
  <c r="Q36"/>
  <c r="H56"/>
  <c r="I56"/>
  <c r="I57"/>
  <c r="I30"/>
  <c r="K30"/>
  <c r="G28"/>
  <c r="A4"/>
  <c r="I23"/>
  <c r="G21"/>
  <c r="E33" i="60"/>
  <c r="M25"/>
  <c r="H29" i="61"/>
  <c r="H30"/>
  <c r="G29"/>
  <c r="H19" i="62"/>
  <c r="H65" i="61"/>
  <c r="H66"/>
  <c r="J29"/>
  <c r="J30"/>
  <c r="G23"/>
  <c r="G50"/>
  <c r="I32"/>
  <c r="I33"/>
  <c r="H23"/>
  <c r="H57"/>
  <c r="I63"/>
  <c r="J23"/>
  <c r="G26"/>
  <c r="K26"/>
  <c r="I71"/>
  <c r="I72"/>
  <c r="H51" i="62"/>
  <c r="H48"/>
  <c r="E34" i="60"/>
  <c r="F32"/>
  <c r="F31"/>
  <c r="H30" i="59"/>
  <c r="H30" i="40"/>
  <c r="F29" i="60"/>
  <c r="F33"/>
  <c r="G32" i="61"/>
  <c r="G33"/>
  <c r="H22" i="62"/>
  <c r="H29" i="59"/>
  <c r="H29" i="40"/>
  <c r="I65" i="61"/>
  <c r="I66"/>
  <c r="K23"/>
  <c r="K27"/>
  <c r="K33"/>
  <c r="K34"/>
  <c r="H31" i="59"/>
  <c r="G39" i="60"/>
  <c r="B39"/>
  <c r="G37"/>
  <c r="H19"/>
  <c r="H18"/>
  <c r="H17"/>
  <c r="H16"/>
  <c r="H15"/>
  <c r="H14"/>
  <c r="H13"/>
  <c r="H12"/>
  <c r="H11"/>
  <c r="H10"/>
  <c r="A4"/>
  <c r="H61" i="59"/>
  <c r="H60"/>
  <c r="H53"/>
  <c r="H50"/>
  <c r="H49"/>
  <c r="H47"/>
  <c r="H45"/>
  <c r="H37"/>
  <c r="H33"/>
  <c r="H26"/>
  <c r="H22"/>
  <c r="H19"/>
  <c r="H17"/>
  <c r="A7"/>
  <c r="F4"/>
  <c r="F4" i="42"/>
  <c r="J9" i="9"/>
  <c r="H31" i="40"/>
  <c r="H28" i="59"/>
  <c r="H36" i="62"/>
  <c r="H24"/>
  <c r="H66" i="59"/>
  <c r="G25" i="2"/>
  <c r="G18" i="61"/>
  <c r="I16" i="60"/>
  <c r="I14"/>
  <c r="I10"/>
  <c r="I18"/>
  <c r="H20"/>
  <c r="I12"/>
  <c r="H25" i="7"/>
  <c r="H26"/>
  <c r="H24" i="59"/>
  <c r="H16"/>
  <c r="H67"/>
  <c r="H65" i="62"/>
  <c r="G28" i="2"/>
  <c r="H28"/>
  <c r="H17" i="62"/>
  <c r="H16"/>
  <c r="H66"/>
  <c r="H19" i="41"/>
  <c r="H17"/>
  <c r="H51"/>
  <c r="H48"/>
  <c r="H16"/>
  <c r="H66"/>
  <c r="H24" i="42"/>
  <c r="H16"/>
  <c r="H66"/>
  <c r="H60" i="43"/>
  <c r="H59"/>
  <c r="H52"/>
  <c r="H16"/>
  <c r="H67"/>
  <c r="J17" i="3"/>
  <c r="I21" i="60"/>
  <c r="I20"/>
  <c r="I25" i="7"/>
  <c r="I26"/>
  <c r="H51" i="40"/>
  <c r="L143" i="4"/>
  <c r="L144"/>
  <c r="L145"/>
  <c r="L146"/>
  <c r="L147"/>
  <c r="L142"/>
  <c r="H143"/>
  <c r="H144"/>
  <c r="H145"/>
  <c r="H146"/>
  <c r="H147"/>
  <c r="H142"/>
  <c r="G143"/>
  <c r="G144"/>
  <c r="G145"/>
  <c r="G146"/>
  <c r="G147"/>
  <c r="G142"/>
  <c r="F147"/>
  <c r="F143"/>
  <c r="F144"/>
  <c r="F145"/>
  <c r="F146"/>
  <c r="F142"/>
  <c r="E149"/>
  <c r="E142"/>
  <c r="E143"/>
  <c r="E144"/>
  <c r="E145"/>
  <c r="E146"/>
  <c r="C149"/>
  <c r="L149"/>
  <c r="C148"/>
  <c r="L148"/>
  <c r="G149"/>
  <c r="F149"/>
  <c r="E151"/>
  <c r="H149"/>
  <c r="E148"/>
  <c r="F148"/>
  <c r="F151"/>
  <c r="G148"/>
  <c r="G151"/>
  <c r="H148"/>
  <c r="H151"/>
  <c r="L151"/>
  <c r="J17" i="7"/>
  <c r="L16"/>
  <c r="M16"/>
  <c r="K16"/>
  <c r="J16"/>
  <c r="D162" i="4"/>
  <c r="E137"/>
  <c r="D161"/>
  <c r="D137"/>
  <c r="I38" i="2"/>
  <c r="H38"/>
  <c r="H17" i="27"/>
  <c r="G17"/>
  <c r="G18"/>
  <c r="H18"/>
  <c r="G90" i="2"/>
  <c r="I90"/>
  <c r="I89"/>
  <c r="I88"/>
  <c r="H90"/>
  <c r="H89"/>
  <c r="H88"/>
  <c r="G89"/>
  <c r="G88"/>
  <c r="I14" i="11"/>
  <c r="H9"/>
  <c r="E7" i="3"/>
  <c r="D7"/>
  <c r="C6"/>
  <c r="I8" i="2"/>
  <c r="H8"/>
  <c r="G7"/>
  <c r="G97" i="4"/>
  <c r="G96"/>
  <c r="G95"/>
  <c r="G94"/>
  <c r="G93"/>
  <c r="G92"/>
  <c r="G91"/>
  <c r="G90"/>
  <c r="G89"/>
  <c r="G88"/>
  <c r="G87"/>
  <c r="G86"/>
  <c r="G85"/>
  <c r="G84"/>
  <c r="G82"/>
  <c r="D83"/>
  <c r="D98"/>
  <c r="H12" i="11"/>
  <c r="A7" i="56"/>
  <c r="A7" i="55"/>
  <c r="A7" i="54"/>
  <c r="A7" i="53"/>
  <c r="A7" i="52"/>
  <c r="A7" i="51"/>
  <c r="A7" i="50"/>
  <c r="A7" i="48"/>
  <c r="A7" i="49"/>
  <c r="A7" i="47"/>
  <c r="A7" i="46"/>
  <c r="A7" i="45"/>
  <c r="A7" i="57"/>
  <c r="A7" i="44"/>
  <c r="A7" i="43"/>
  <c r="A7" i="42"/>
  <c r="A7" i="41"/>
  <c r="C99" i="1"/>
  <c r="D220" i="4"/>
  <c r="E214"/>
  <c r="E215"/>
  <c r="E200"/>
  <c r="E199"/>
  <c r="F199"/>
  <c r="G178"/>
  <c r="D159"/>
  <c r="H137"/>
  <c r="D115"/>
  <c r="D128"/>
  <c r="C8"/>
  <c r="D27"/>
  <c r="E14"/>
  <c r="H37" i="2"/>
  <c r="H36"/>
  <c r="H35"/>
  <c r="I37"/>
  <c r="I36"/>
  <c r="I35"/>
  <c r="I15" i="58"/>
  <c r="B15"/>
  <c r="I13"/>
  <c r="I9"/>
  <c r="A4"/>
  <c r="H60" i="57"/>
  <c r="H59"/>
  <c r="H49"/>
  <c r="H48"/>
  <c r="H44"/>
  <c r="H36"/>
  <c r="H32"/>
  <c r="H24"/>
  <c r="H28"/>
  <c r="H26"/>
  <c r="H22"/>
  <c r="H19"/>
  <c r="H17"/>
  <c r="H52" i="56"/>
  <c r="H52" i="55"/>
  <c r="H52" i="54"/>
  <c r="H52" i="53"/>
  <c r="H52" i="52"/>
  <c r="H52" i="51"/>
  <c r="H52" i="50"/>
  <c r="H52" i="48"/>
  <c r="H52" i="49"/>
  <c r="H52" i="47"/>
  <c r="H52" i="45"/>
  <c r="H52" i="44"/>
  <c r="H52" i="42"/>
  <c r="H52" i="41"/>
  <c r="J9" i="58"/>
  <c r="J10"/>
  <c r="H65" i="57"/>
  <c r="G38" i="2"/>
  <c r="I10" i="58"/>
  <c r="H46" i="57"/>
  <c r="G37" i="2"/>
  <c r="G36"/>
  <c r="G35"/>
  <c r="H52" i="57"/>
  <c r="H16"/>
  <c r="H66"/>
  <c r="I26" i="11"/>
  <c r="H67"/>
  <c r="H68"/>
  <c r="I67"/>
  <c r="I68"/>
  <c r="E98" i="1"/>
  <c r="E97"/>
  <c r="D98"/>
  <c r="D97"/>
  <c r="C98"/>
  <c r="C97"/>
  <c r="C36"/>
  <c r="E58"/>
  <c r="D58"/>
  <c r="C58"/>
  <c r="D95"/>
  <c r="D94"/>
  <c r="D93"/>
  <c r="E95"/>
  <c r="E94"/>
  <c r="E93"/>
  <c r="C95"/>
  <c r="C94"/>
  <c r="C93"/>
  <c r="H121" i="2"/>
  <c r="I121"/>
  <c r="A4" i="39"/>
  <c r="A4" i="37"/>
  <c r="A4" i="35"/>
  <c r="A4" i="33"/>
  <c r="A4" i="31"/>
  <c r="A4" i="29"/>
  <c r="A4" i="27"/>
  <c r="A4" i="23"/>
  <c r="A4" i="21"/>
  <c r="A4" i="19"/>
  <c r="A4" i="17"/>
  <c r="A4" i="15"/>
  <c r="A4" i="13"/>
  <c r="A4" i="11"/>
  <c r="A4" i="9"/>
  <c r="A4" i="7"/>
  <c r="H60" i="56"/>
  <c r="H59"/>
  <c r="H49"/>
  <c r="H46"/>
  <c r="H44"/>
  <c r="H32"/>
  <c r="H28"/>
  <c r="H26"/>
  <c r="H22"/>
  <c r="H19"/>
  <c r="H17"/>
  <c r="H60" i="55"/>
  <c r="H59"/>
  <c r="H46"/>
  <c r="H44"/>
  <c r="H32"/>
  <c r="H28"/>
  <c r="H26"/>
  <c r="H22"/>
  <c r="H19"/>
  <c r="H17"/>
  <c r="H60" i="54"/>
  <c r="H59"/>
  <c r="H49"/>
  <c r="H48"/>
  <c r="H46"/>
  <c r="H36"/>
  <c r="H32"/>
  <c r="H28"/>
  <c r="H26"/>
  <c r="H22"/>
  <c r="H19"/>
  <c r="H17"/>
  <c r="H60" i="53"/>
  <c r="H59"/>
  <c r="H49"/>
  <c r="H48"/>
  <c r="H46"/>
  <c r="H44"/>
  <c r="H36"/>
  <c r="H26"/>
  <c r="H22"/>
  <c r="H19"/>
  <c r="H17"/>
  <c r="H59" i="52"/>
  <c r="H60"/>
  <c r="H49"/>
  <c r="H48"/>
  <c r="H46"/>
  <c r="H44"/>
  <c r="H32"/>
  <c r="H28"/>
  <c r="H26"/>
  <c r="H22"/>
  <c r="H17"/>
  <c r="H19"/>
  <c r="H60" i="51"/>
  <c r="H49"/>
  <c r="H48"/>
  <c r="H46"/>
  <c r="H44"/>
  <c r="H36"/>
  <c r="H28"/>
  <c r="H26"/>
  <c r="H22"/>
  <c r="H19"/>
  <c r="H17"/>
  <c r="H60" i="50"/>
  <c r="H59"/>
  <c r="H49"/>
  <c r="H48"/>
  <c r="H46"/>
  <c r="H44"/>
  <c r="H32"/>
  <c r="H28"/>
  <c r="H26"/>
  <c r="H22"/>
  <c r="H19"/>
  <c r="H17"/>
  <c r="H60" i="49"/>
  <c r="H59"/>
  <c r="H49"/>
  <c r="H48"/>
  <c r="H46"/>
  <c r="H44"/>
  <c r="H32"/>
  <c r="H28"/>
  <c r="H26"/>
  <c r="H22"/>
  <c r="H19"/>
  <c r="H17"/>
  <c r="H48" i="56"/>
  <c r="H24" i="54"/>
  <c r="H60" i="48"/>
  <c r="H59"/>
  <c r="H49"/>
  <c r="H48"/>
  <c r="H46"/>
  <c r="H44"/>
  <c r="H36"/>
  <c r="H28"/>
  <c r="H26"/>
  <c r="H22"/>
  <c r="H19"/>
  <c r="H17"/>
  <c r="H60" i="47"/>
  <c r="H59"/>
  <c r="H49"/>
  <c r="H48"/>
  <c r="H46"/>
  <c r="H44"/>
  <c r="H32"/>
  <c r="H28"/>
  <c r="H26"/>
  <c r="H22"/>
  <c r="H19"/>
  <c r="H17"/>
  <c r="H60" i="46"/>
  <c r="H49"/>
  <c r="H48"/>
  <c r="H46"/>
  <c r="H44"/>
  <c r="H36"/>
  <c r="G60" i="2"/>
  <c r="H32" i="46"/>
  <c r="H69"/>
  <c r="G58" i="2"/>
  <c r="H26" i="46"/>
  <c r="H22"/>
  <c r="H19"/>
  <c r="H60" i="45"/>
  <c r="H59"/>
  <c r="H49"/>
  <c r="H48"/>
  <c r="H46"/>
  <c r="H44"/>
  <c r="H36"/>
  <c r="H32"/>
  <c r="H28"/>
  <c r="H26"/>
  <c r="H22"/>
  <c r="H19"/>
  <c r="H17"/>
  <c r="H60" i="44"/>
  <c r="H59"/>
  <c r="H49"/>
  <c r="H48"/>
  <c r="H44"/>
  <c r="H36"/>
  <c r="H32"/>
  <c r="H28"/>
  <c r="H26"/>
  <c r="H22"/>
  <c r="H19"/>
  <c r="H31" i="11"/>
  <c r="I58" i="2"/>
  <c r="I57"/>
  <c r="H58"/>
  <c r="H57"/>
  <c r="G57"/>
  <c r="G59"/>
  <c r="H17" i="46"/>
  <c r="H24" i="45"/>
  <c r="H17" i="44"/>
  <c r="H24"/>
  <c r="H49" i="43"/>
  <c r="H46"/>
  <c r="H44"/>
  <c r="H60" i="42"/>
  <c r="H59"/>
  <c r="H49"/>
  <c r="H48"/>
  <c r="H46"/>
  <c r="H44"/>
  <c r="H32"/>
  <c r="H28"/>
  <c r="H26"/>
  <c r="H22"/>
  <c r="H19"/>
  <c r="H17"/>
  <c r="H60" i="41"/>
  <c r="H59"/>
  <c r="H49"/>
  <c r="H46"/>
  <c r="H44"/>
  <c r="H36"/>
  <c r="H32"/>
  <c r="H28"/>
  <c r="H26"/>
  <c r="H24"/>
  <c r="H22"/>
  <c r="G10" i="35"/>
  <c r="H10"/>
  <c r="H66" i="54"/>
  <c r="G122" i="2"/>
  <c r="G121"/>
  <c r="O151" i="4"/>
  <c r="N151"/>
  <c r="M151"/>
  <c r="E57" i="1"/>
  <c r="E56"/>
  <c r="D57"/>
  <c r="D56"/>
  <c r="C57"/>
  <c r="C56"/>
  <c r="D60" i="4"/>
  <c r="C21" i="1"/>
  <c r="C40" i="4"/>
  <c r="C42"/>
  <c r="G19" i="23"/>
  <c r="H19"/>
  <c r="G20"/>
  <c r="G21"/>
  <c r="G18"/>
  <c r="I133" i="2"/>
  <c r="H133"/>
  <c r="H21" i="19"/>
  <c r="H22"/>
  <c r="G22"/>
  <c r="G79" i="11"/>
  <c r="H79"/>
  <c r="G80"/>
  <c r="H80"/>
  <c r="G9" i="39"/>
  <c r="H9"/>
  <c r="I131" i="2"/>
  <c r="I130"/>
  <c r="I129"/>
  <c r="H131"/>
  <c r="H130"/>
  <c r="H129"/>
  <c r="G16" i="39"/>
  <c r="A16"/>
  <c r="G14"/>
  <c r="G10"/>
  <c r="H10"/>
  <c r="H66" i="56"/>
  <c r="H65"/>
  <c r="H11" i="39"/>
  <c r="H38" i="56"/>
  <c r="H36"/>
  <c r="H24"/>
  <c r="H16"/>
  <c r="H67"/>
  <c r="G133" i="2"/>
  <c r="G11" i="39"/>
  <c r="G131" i="2"/>
  <c r="G130"/>
  <c r="G129"/>
  <c r="I111"/>
  <c r="H111"/>
  <c r="I105"/>
  <c r="I104"/>
  <c r="I103"/>
  <c r="H105"/>
  <c r="H104"/>
  <c r="H103"/>
  <c r="H102"/>
  <c r="I102"/>
  <c r="H109"/>
  <c r="I109"/>
  <c r="D80" i="1"/>
  <c r="E80"/>
  <c r="C80"/>
  <c r="G23" i="37"/>
  <c r="F10"/>
  <c r="H10"/>
  <c r="H19"/>
  <c r="H13" i="33"/>
  <c r="H12"/>
  <c r="I12"/>
  <c r="J12"/>
  <c r="H28" i="46"/>
  <c r="H66"/>
  <c r="G50" i="2"/>
  <c r="H103" i="11"/>
  <c r="I50" i="2"/>
  <c r="I25"/>
  <c r="H50"/>
  <c r="H25"/>
  <c r="H28" i="43"/>
  <c r="D219" i="4"/>
  <c r="D218"/>
  <c r="D217"/>
  <c r="C169"/>
  <c r="D158"/>
  <c r="D157"/>
  <c r="D156"/>
  <c r="D155"/>
  <c r="D154"/>
  <c r="D153"/>
  <c r="G137"/>
  <c r="H20" i="11"/>
  <c r="J15" i="9"/>
  <c r="A4" i="3"/>
  <c r="A5" i="2"/>
  <c r="C1" i="3"/>
  <c r="G1" i="2"/>
  <c r="I128"/>
  <c r="H128"/>
  <c r="I120"/>
  <c r="H120"/>
  <c r="I65"/>
  <c r="I108"/>
  <c r="I107"/>
  <c r="H108"/>
  <c r="H107"/>
  <c r="H65"/>
  <c r="H17" i="37"/>
  <c r="H16"/>
  <c r="H15"/>
  <c r="H14"/>
  <c r="H13"/>
  <c r="H12"/>
  <c r="H11"/>
  <c r="H36" i="55"/>
  <c r="G25" i="37"/>
  <c r="A25"/>
  <c r="H18"/>
  <c r="G9" i="35"/>
  <c r="G11"/>
  <c r="H24" i="55"/>
  <c r="H20" i="37"/>
  <c r="G16" i="35"/>
  <c r="A16"/>
  <c r="G14"/>
  <c r="H9"/>
  <c r="I20" i="33"/>
  <c r="I21"/>
  <c r="J10"/>
  <c r="H65" i="54"/>
  <c r="G120" i="2"/>
  <c r="H11" i="35"/>
  <c r="H49" i="40"/>
  <c r="H48" i="55"/>
  <c r="H16"/>
  <c r="H66"/>
  <c r="J20" i="33"/>
  <c r="J21"/>
  <c r="H42"/>
  <c r="B42"/>
  <c r="H40"/>
  <c r="J14"/>
  <c r="I14"/>
  <c r="G16" i="31"/>
  <c r="A16"/>
  <c r="G14"/>
  <c r="H10"/>
  <c r="H11"/>
  <c r="G10"/>
  <c r="G11"/>
  <c r="G45" i="29"/>
  <c r="A45"/>
  <c r="G43"/>
  <c r="H31"/>
  <c r="G31"/>
  <c r="H18"/>
  <c r="G23" i="27"/>
  <c r="A23"/>
  <c r="G21"/>
  <c r="H65" i="53"/>
  <c r="H32"/>
  <c r="H59" i="51"/>
  <c r="G11" i="27"/>
  <c r="H44" i="40"/>
  <c r="H44" i="54"/>
  <c r="H16"/>
  <c r="H67"/>
  <c r="H11" i="27"/>
  <c r="H38" i="50"/>
  <c r="G105" i="2"/>
  <c r="H36" i="52"/>
  <c r="H24"/>
  <c r="H16"/>
  <c r="H66"/>
  <c r="H32" i="51"/>
  <c r="H20" i="23"/>
  <c r="H21"/>
  <c r="H18"/>
  <c r="H49" i="17"/>
  <c r="H50"/>
  <c r="F17" i="23"/>
  <c r="G17"/>
  <c r="G10"/>
  <c r="G11"/>
  <c r="G10" i="21"/>
  <c r="H10"/>
  <c r="H9"/>
  <c r="G11"/>
  <c r="G17"/>
  <c r="G15"/>
  <c r="G27" i="19"/>
  <c r="A27"/>
  <c r="G25"/>
  <c r="G87" i="17"/>
  <c r="A87"/>
  <c r="G85"/>
  <c r="G15" i="15"/>
  <c r="A15"/>
  <c r="G13"/>
  <c r="G15" i="13"/>
  <c r="A15"/>
  <c r="G13"/>
  <c r="G108" i="11"/>
  <c r="G106"/>
  <c r="A108"/>
  <c r="I22" i="9"/>
  <c r="I20"/>
  <c r="B22"/>
  <c r="H9" i="19"/>
  <c r="H10"/>
  <c r="H16"/>
  <c r="G10"/>
  <c r="I63" i="17"/>
  <c r="I64"/>
  <c r="H63"/>
  <c r="H64"/>
  <c r="H55"/>
  <c r="H56"/>
  <c r="I55"/>
  <c r="I56"/>
  <c r="I49"/>
  <c r="I50"/>
  <c r="H38" i="49"/>
  <c r="H38" i="47"/>
  <c r="H38" i="40"/>
  <c r="H12" i="21"/>
  <c r="I68" i="40"/>
  <c r="H24" i="63"/>
  <c r="H16"/>
  <c r="H66"/>
  <c r="H67" i="46"/>
  <c r="G53" i="2"/>
  <c r="H68" i="46"/>
  <c r="G56" i="2"/>
  <c r="H52" i="46"/>
  <c r="H28" i="53"/>
  <c r="H28" i="40"/>
  <c r="H17" i="23"/>
  <c r="H24" i="51"/>
  <c r="H16"/>
  <c r="H67"/>
  <c r="H59" i="46"/>
  <c r="H24"/>
  <c r="G104" i="2"/>
  <c r="G23" i="23"/>
  <c r="H10"/>
  <c r="H11"/>
  <c r="H65" i="48"/>
  <c r="G83" i="2"/>
  <c r="H11" i="21"/>
  <c r="I16" i="19"/>
  <c r="G103" i="2"/>
  <c r="G102"/>
  <c r="H34" i="48"/>
  <c r="H34" i="40"/>
  <c r="H36" i="50"/>
  <c r="H24"/>
  <c r="H16"/>
  <c r="H67"/>
  <c r="H65"/>
  <c r="G93" i="2"/>
  <c r="H36" i="49"/>
  <c r="H65"/>
  <c r="G70" i="2"/>
  <c r="H36" i="47"/>
  <c r="H24" i="53"/>
  <c r="H16"/>
  <c r="H68"/>
  <c r="H16" i="46"/>
  <c r="H71"/>
  <c r="H24" i="64"/>
  <c r="H16"/>
  <c r="H66"/>
  <c r="G108" i="2"/>
  <c r="G107"/>
  <c r="H24" i="49"/>
  <c r="H16"/>
  <c r="H66"/>
  <c r="H65" i="47"/>
  <c r="G65" i="2"/>
  <c r="H24" i="47"/>
  <c r="H16"/>
  <c r="H66"/>
  <c r="H32" i="48"/>
  <c r="H24"/>
  <c r="H16"/>
  <c r="H67"/>
  <c r="H9" i="15"/>
  <c r="H10"/>
  <c r="G9" i="13"/>
  <c r="H9"/>
  <c r="H10"/>
  <c r="H66" i="45"/>
  <c r="H46" i="44"/>
  <c r="H16"/>
  <c r="H66"/>
  <c r="H87" i="11"/>
  <c r="G78"/>
  <c r="G82"/>
  <c r="I102"/>
  <c r="I101"/>
  <c r="I100"/>
  <c r="G71"/>
  <c r="H71"/>
  <c r="I71"/>
  <c r="I72"/>
  <c r="H89"/>
  <c r="H52" i="40"/>
  <c r="H66" i="43"/>
  <c r="G30" i="2"/>
  <c r="H78" i="11"/>
  <c r="H82"/>
  <c r="H46" i="40"/>
  <c r="I103" i="11"/>
  <c r="H72"/>
  <c r="I60"/>
  <c r="I64"/>
  <c r="I54"/>
  <c r="I56"/>
  <c r="I55"/>
  <c r="I45"/>
  <c r="I48"/>
  <c r="I46"/>
  <c r="I53"/>
  <c r="I51"/>
  <c r="I50"/>
  <c r="I49"/>
  <c r="I47"/>
  <c r="I44"/>
  <c r="H32"/>
  <c r="I31"/>
  <c r="I32"/>
  <c r="H34"/>
  <c r="H48" i="40"/>
  <c r="H48" i="43"/>
  <c r="H27" i="11"/>
  <c r="H41"/>
  <c r="I52"/>
  <c r="I57"/>
  <c r="H57"/>
  <c r="I30"/>
  <c r="I34"/>
  <c r="H60" i="40"/>
  <c r="H59"/>
  <c r="H73" i="11"/>
  <c r="I30" i="2"/>
  <c r="H30"/>
  <c r="H35" i="11"/>
  <c r="H21"/>
  <c r="I10"/>
  <c r="I9"/>
  <c r="H13"/>
  <c r="I41"/>
  <c r="I27"/>
  <c r="H11"/>
  <c r="I11"/>
  <c r="I73"/>
  <c r="I12"/>
  <c r="H26" i="40"/>
  <c r="H19" i="43"/>
  <c r="I13" i="11"/>
  <c r="H15"/>
  <c r="I15"/>
  <c r="H19" i="40"/>
  <c r="I35" i="11"/>
  <c r="J17" i="9"/>
  <c r="H22" i="43"/>
  <c r="J10" i="9"/>
  <c r="J12" i="7"/>
  <c r="J13"/>
  <c r="N11"/>
  <c r="M8"/>
  <c r="M9"/>
  <c r="J7"/>
  <c r="J9"/>
  <c r="G29" i="2"/>
  <c r="H36" i="40"/>
  <c r="H22"/>
  <c r="H32"/>
  <c r="H17" i="43"/>
  <c r="K8" i="7"/>
  <c r="K9"/>
  <c r="H29" i="2"/>
  <c r="I10" i="1"/>
  <c r="N12" i="7"/>
  <c r="H24" i="40"/>
  <c r="E17" i="1"/>
  <c r="D17"/>
  <c r="E16"/>
  <c r="D16"/>
  <c r="E15"/>
  <c r="D15"/>
  <c r="D14"/>
  <c r="E14"/>
  <c r="E208" i="4"/>
  <c r="E207"/>
  <c r="E206"/>
  <c r="E205"/>
  <c r="E204"/>
  <c r="E203"/>
  <c r="B203"/>
  <c r="E198"/>
  <c r="E197"/>
  <c r="E196"/>
  <c r="E195"/>
  <c r="F190"/>
  <c r="E190"/>
  <c r="D190"/>
  <c r="G177"/>
  <c r="G176"/>
  <c r="B178"/>
  <c r="G175"/>
  <c r="G174"/>
  <c r="G173"/>
  <c r="G172"/>
  <c r="F168"/>
  <c r="E168"/>
  <c r="D168"/>
  <c r="C168"/>
  <c r="F136"/>
  <c r="E136"/>
  <c r="D136"/>
  <c r="C136"/>
  <c r="C190"/>
  <c r="B113"/>
  <c r="D104"/>
  <c r="F103"/>
  <c r="E103"/>
  <c r="D103"/>
  <c r="C103"/>
  <c r="E83"/>
  <c r="E98"/>
  <c r="G81"/>
  <c r="F76"/>
  <c r="E76"/>
  <c r="D76"/>
  <c r="C76"/>
  <c r="E53"/>
  <c r="C53"/>
  <c r="D26"/>
  <c r="D25"/>
  <c r="E16"/>
  <c r="F17"/>
  <c r="D24"/>
  <c r="E15"/>
  <c r="D23"/>
  <c r="D22"/>
  <c r="D21"/>
  <c r="D20"/>
  <c r="G19" i="7"/>
  <c r="I29" i="2"/>
  <c r="I28"/>
  <c r="E169" i="4"/>
  <c r="F169"/>
  <c r="E104"/>
  <c r="F104"/>
  <c r="C28" i="1"/>
  <c r="D28"/>
  <c r="E28"/>
  <c r="D169" i="4"/>
  <c r="F137"/>
  <c r="F203"/>
  <c r="F207"/>
  <c r="D223"/>
  <c r="D8"/>
  <c r="F53"/>
  <c r="F197"/>
  <c r="G83"/>
  <c r="F205"/>
  <c r="D222"/>
  <c r="F195"/>
  <c r="C20" i="1"/>
  <c r="E8" i="4"/>
  <c r="E61"/>
  <c r="E60"/>
  <c r="A5" i="3"/>
  <c r="A6" i="2"/>
  <c r="I127"/>
  <c r="I126"/>
  <c r="I125"/>
  <c r="I124"/>
  <c r="H127"/>
  <c r="H126"/>
  <c r="H125"/>
  <c r="H124"/>
  <c r="G127"/>
  <c r="G126"/>
  <c r="G125"/>
  <c r="I119"/>
  <c r="H119"/>
  <c r="G119"/>
  <c r="G100"/>
  <c r="G99"/>
  <c r="G95"/>
  <c r="I100"/>
  <c r="I99"/>
  <c r="I95"/>
  <c r="H100"/>
  <c r="H99"/>
  <c r="H95"/>
  <c r="G92"/>
  <c r="I92"/>
  <c r="H92"/>
  <c r="G85"/>
  <c r="G84"/>
  <c r="I82"/>
  <c r="I81"/>
  <c r="H82"/>
  <c r="H81"/>
  <c r="G82"/>
  <c r="G81"/>
  <c r="G69"/>
  <c r="G68"/>
  <c r="G67"/>
  <c r="G66"/>
  <c r="I64"/>
  <c r="I63"/>
  <c r="I62"/>
  <c r="I61"/>
  <c r="H64"/>
  <c r="H63"/>
  <c r="H62"/>
  <c r="H61"/>
  <c r="G64"/>
  <c r="G63"/>
  <c r="G62"/>
  <c r="G61"/>
  <c r="H56"/>
  <c r="H55"/>
  <c r="H54"/>
  <c r="I53"/>
  <c r="I52"/>
  <c r="I51"/>
  <c r="G49"/>
  <c r="G48"/>
  <c r="G44"/>
  <c r="I49"/>
  <c r="I48"/>
  <c r="I44"/>
  <c r="H49"/>
  <c r="H48"/>
  <c r="H44"/>
  <c r="H42"/>
  <c r="H40"/>
  <c r="H41"/>
  <c r="H39"/>
  <c r="I34"/>
  <c r="I24"/>
  <c r="I23"/>
  <c r="I22"/>
  <c r="H24"/>
  <c r="H23"/>
  <c r="H22"/>
  <c r="G24"/>
  <c r="G23"/>
  <c r="G22"/>
  <c r="C90" i="1"/>
  <c r="E90"/>
  <c r="D90"/>
  <c r="E75"/>
  <c r="E74"/>
  <c r="D75"/>
  <c r="C75"/>
  <c r="C74"/>
  <c r="E71"/>
  <c r="D71"/>
  <c r="C71"/>
  <c r="C68"/>
  <c r="E64"/>
  <c r="D64"/>
  <c r="C64"/>
  <c r="E62"/>
  <c r="E61"/>
  <c r="D62"/>
  <c r="D61"/>
  <c r="C62"/>
  <c r="C61"/>
  <c r="C54"/>
  <c r="C49"/>
  <c r="E54"/>
  <c r="E49"/>
  <c r="D54"/>
  <c r="D49"/>
  <c r="C46"/>
  <c r="C45"/>
  <c r="C44"/>
  <c r="E45"/>
  <c r="E44"/>
  <c r="D45"/>
  <c r="D44"/>
  <c r="D74"/>
  <c r="G124" i="2"/>
  <c r="G123"/>
  <c r="H17" i="40"/>
  <c r="H16"/>
  <c r="H65" i="41"/>
  <c r="G15" i="2"/>
  <c r="G98" i="4"/>
  <c r="E77"/>
  <c r="F77"/>
  <c r="C25" i="1"/>
  <c r="C73"/>
  <c r="G118" i="2"/>
  <c r="G117"/>
  <c r="H118"/>
  <c r="H117"/>
  <c r="I118"/>
  <c r="I117"/>
  <c r="H69"/>
  <c r="H68"/>
  <c r="H67"/>
  <c r="H66"/>
  <c r="D73" i="1"/>
  <c r="I69" i="2"/>
  <c r="I68"/>
  <c r="I67"/>
  <c r="I66"/>
  <c r="E73" i="1"/>
  <c r="D191" i="4"/>
  <c r="E191"/>
  <c r="F191"/>
  <c r="C19" i="1"/>
  <c r="C18"/>
  <c r="D35"/>
  <c r="E35"/>
  <c r="I91" i="2"/>
  <c r="I87"/>
  <c r="H91"/>
  <c r="H87"/>
  <c r="G91"/>
  <c r="G87"/>
  <c r="C27" i="1"/>
  <c r="C26"/>
  <c r="C60"/>
  <c r="F61" i="4"/>
  <c r="D21" i="1"/>
  <c r="D20"/>
  <c r="D19"/>
  <c r="D18"/>
  <c r="F8" i="4"/>
  <c r="E67" i="1"/>
  <c r="E13"/>
  <c r="D60"/>
  <c r="D32"/>
  <c r="E32"/>
  <c r="E31"/>
  <c r="E30"/>
  <c r="D67"/>
  <c r="C67"/>
  <c r="C12"/>
  <c r="D13"/>
  <c r="H86" i="2"/>
  <c r="E60" i="1"/>
  <c r="H106" i="2"/>
  <c r="H34"/>
  <c r="H33"/>
  <c r="H32"/>
  <c r="H31"/>
  <c r="H53"/>
  <c r="H52"/>
  <c r="H51"/>
  <c r="I106"/>
  <c r="H27"/>
  <c r="H26"/>
  <c r="H21"/>
  <c r="G33"/>
  <c r="G32"/>
  <c r="G31"/>
  <c r="G52"/>
  <c r="G51"/>
  <c r="G55"/>
  <c r="G54"/>
  <c r="I56"/>
  <c r="I55"/>
  <c r="I54"/>
  <c r="G106"/>
  <c r="I19"/>
  <c r="I18"/>
  <c r="I17"/>
  <c r="I16"/>
  <c r="H19"/>
  <c r="H18"/>
  <c r="H17"/>
  <c r="H16"/>
  <c r="I27"/>
  <c r="I26"/>
  <c r="I21"/>
  <c r="G80"/>
  <c r="I123"/>
  <c r="H123"/>
  <c r="G19"/>
  <c r="G18"/>
  <c r="G17"/>
  <c r="G27"/>
  <c r="G26"/>
  <c r="G21"/>
  <c r="G40"/>
  <c r="G41"/>
  <c r="G39"/>
  <c r="I42"/>
  <c r="I40"/>
  <c r="I41"/>
  <c r="I39"/>
  <c r="I15"/>
  <c r="I13"/>
  <c r="I12"/>
  <c r="G13"/>
  <c r="G12"/>
  <c r="H15"/>
  <c r="H13"/>
  <c r="H12"/>
  <c r="G14"/>
  <c r="C24" i="1"/>
  <c r="C23"/>
  <c r="C22"/>
  <c r="D25"/>
  <c r="D23"/>
  <c r="D22"/>
  <c r="E34"/>
  <c r="E33"/>
  <c r="E29"/>
  <c r="E26"/>
  <c r="D43"/>
  <c r="D42"/>
  <c r="D41"/>
  <c r="D40"/>
  <c r="F60" i="4"/>
  <c r="E21" i="1"/>
  <c r="E20"/>
  <c r="E19"/>
  <c r="E18"/>
  <c r="E43"/>
  <c r="E11"/>
  <c r="E10"/>
  <c r="E9"/>
  <c r="D34"/>
  <c r="D33"/>
  <c r="G79" i="2"/>
  <c r="C10" i="1"/>
  <c r="C9"/>
  <c r="E12"/>
  <c r="I86" i="2"/>
  <c r="I85"/>
  <c r="I84"/>
  <c r="I80"/>
  <c r="I79"/>
  <c r="D12" i="1"/>
  <c r="H85" i="2"/>
  <c r="H84"/>
  <c r="H80"/>
  <c r="H79"/>
  <c r="E66" i="1"/>
  <c r="C66"/>
  <c r="H94" i="2"/>
  <c r="I33"/>
  <c r="I32"/>
  <c r="I31"/>
  <c r="D31" i="1"/>
  <c r="D30"/>
  <c r="E27"/>
  <c r="D26"/>
  <c r="D27"/>
  <c r="G43" i="2"/>
  <c r="D66" i="1"/>
  <c r="D48"/>
  <c r="D47"/>
  <c r="I94" i="2"/>
  <c r="I43"/>
  <c r="H43"/>
  <c r="G94"/>
  <c r="G16"/>
  <c r="I14"/>
  <c r="H10" i="1"/>
  <c r="H14" i="2"/>
  <c r="H11"/>
  <c r="H10"/>
  <c r="H9"/>
  <c r="D17" i="3"/>
  <c r="D16"/>
  <c r="D15"/>
  <c r="D14"/>
  <c r="G11" i="2"/>
  <c r="D24" i="1"/>
  <c r="E25"/>
  <c r="E24"/>
  <c r="I11" i="2"/>
  <c r="H65" i="40"/>
  <c r="C8" i="1"/>
  <c r="C48"/>
  <c r="C47"/>
  <c r="E48"/>
  <c r="E47"/>
  <c r="E42"/>
  <c r="E41"/>
  <c r="E40"/>
  <c r="D29"/>
  <c r="D10"/>
  <c r="D9"/>
  <c r="J7"/>
  <c r="H9"/>
  <c r="J15" i="3"/>
  <c r="J19"/>
  <c r="L15"/>
  <c r="G10" i="2"/>
  <c r="G9"/>
  <c r="C17" i="3"/>
  <c r="C16"/>
  <c r="C15"/>
  <c r="C14"/>
  <c r="I10" i="2"/>
  <c r="I9"/>
  <c r="E17" i="3"/>
  <c r="E16"/>
  <c r="E15"/>
  <c r="E14"/>
  <c r="E23" i="1"/>
  <c r="E22"/>
  <c r="E8"/>
  <c r="E7"/>
  <c r="C7"/>
  <c r="C100"/>
  <c r="D8"/>
  <c r="D7"/>
  <c r="D13" i="3"/>
  <c r="D12"/>
  <c r="D11"/>
  <c r="D10"/>
  <c r="I9" i="1"/>
  <c r="J16" i="3"/>
  <c r="J18"/>
  <c r="L19"/>
  <c r="L16"/>
  <c r="L18"/>
  <c r="C13"/>
  <c r="C12"/>
  <c r="C11"/>
  <c r="C10"/>
  <c r="D100" i="1"/>
  <c r="E100"/>
  <c r="E13" i="3"/>
  <c r="E12"/>
  <c r="E11"/>
  <c r="E10"/>
  <c r="D9"/>
  <c r="D8"/>
  <c r="C9"/>
  <c r="C8"/>
  <c r="E9"/>
  <c r="E8"/>
  <c r="J9"/>
  <c r="J10"/>
  <c r="I9"/>
</calcChain>
</file>

<file path=xl/comments1.xml><?xml version="1.0" encoding="utf-8"?>
<comments xmlns="http://schemas.openxmlformats.org/spreadsheetml/2006/main">
  <authors>
    <author>Автор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+ 9,0 т.р. На больничный</t>
        </r>
      </text>
    </comment>
  </commentList>
</comments>
</file>

<file path=xl/comments10.xml><?xml version="1.0" encoding="utf-8"?>
<comments xmlns="http://schemas.openxmlformats.org/spreadsheetml/2006/main">
  <authors>
    <author>Автор</author>
  </authors>
  <commentList>
    <comment ref="F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примерная сумма на оплату договоров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D11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БК РФ (+2%)
91-ОЗ (+5%)</t>
        </r>
      </text>
    </comment>
    <comment ref="E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1 681 953,84 рублей</t>
        </r>
      </text>
    </comment>
    <comment ref="B8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Северное Управление по гидрометеорологии и мониторингу окружающей среды</t>
        </r>
      </text>
    </comment>
    <comment ref="C1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02.12.19г. Аренда
</t>
        </r>
        <r>
          <rPr>
            <b/>
            <sz val="9"/>
            <color indexed="81"/>
            <rFont val="Tahoma"/>
            <family val="2"/>
            <charset val="204"/>
          </rPr>
          <t>15 555,00 рублей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A18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на выплату заработной платы, осуществляемые на основе договоров (контрактов), в соответствии с законодательством Российской Федерации о государственной (муниципальной) службе, трудовым законодательством, в том числе:
выплаты:
- по должностным окладам, по ставкам заработной платы, по почасовой оплате, по воинским и специальным званиям;
- за работу в ночное время, праздничные и выходные дни;
- за работу с вредными и (или) опасными и иными особыми условиями труда;
- за сверхурочную работу;
- подросткам, принимаемым на временные рабочие места;
- преподавателям, являющимся штатными сотрудниками, в связи с проведением учебной практики и работой на стажерских площадках в рамках выполнения ими служебных обязанностей, предусмотренных условиями трудового договора;
- сотрудникам, призванным на военные сборы;
- осужденным, работающим на штатных должностях в исправительных учреждениях, исполняющих наказания;
- за время вынужденного прогула;
надбавки:
- за выслугу лет;
- за особые условия государственной гражданской и иной службы;
- за работу со сведениями, составляющими государственную тайну;
- за квалификационный разряд (классный чин, дипломатический ранг, за классность по специальности);
- за работу и стаж работы в местностях с особыми климатическими условиями, в пустынных, безводных местностях, в высокогорных районах, в районах Крайнего Севера и приравненных к ним местностях, в южных районах Сибири и Дальнего Востока;
- за сложность, напряженность, специальный режим работы;
- за шифровальную работу, за знание иностранного языка, ученую степень, ученое звание, должности доцента и профессора;
оплата отпусков:
- ежегодных отпусков, в том числе компенсация за неиспользованный отпуск;
- дополнительного оплачиваемого отпуска гражданам, подвергшимся воздействию радиации вследствие катастрофы на Чернобыльской АЭС;
- отпусков за период обучения персонала, направленного на профессиональную подготовку, повышение квалификации или обучение другим профессиям;
иные выплаты:
- единовременного пособия военнослужащему Вооруженных Сил Российской Федерации при заключении контракта, включаемого в состав выплат по денежному довольствию;
- выплаты поощрительного, стимулирующего характера, в том числе вознаграждения по итогам работы за год, премии;
- выплата денежных средств за участие в боевых действиях;
- выплата за дни медицинского обследования, сдачи крови и отдыха, предоставляемые персоналу - донорам крови;
- выплата за дни участия в выполнении государственных или общественных обязанностей;
- выплата материальной помощи за счет фонда оплаты труда;
другие аналогичные расходы.
Кроме того, на данную подстатью относятся расходы по выплате удержаний, произведенных с заработной платы, к которым, в том числе относятся:
- оплата услуг кредитных организаций по зачислению денежных средств на лицевые счета персонала, открытые в кредитных организациях, за счет средств персонала путем удержания работодателем необходимой для оплаты услуги суммы из заработной платы персонала на основании их заявлений, а также оплата почтового сбора;
- перечисления денежных средств профсоюзным организациям (членские профсоюзные взносы);
- налог на доходы физических лиц;
- удержания по исполнительным документам, в том числе на оплату алиментов;
- возмещение материального ущерба, причиненного персоналом организации;
- иные удержания в рамках исполнительного производства.</t>
        </r>
      </text>
    </comment>
    <comment ref="A19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по оплате работодателем в пользу персонала и (или) их иждивенцев, не относящихся к заработной плате дополнительных выплат и пособий (за исключением компенсаций расходов персонала), обусловленных условиями трудовых отношений, статусом работников (сотрудников), в том числе:
- подъемное пособие при переезде на новое место службы военнослужащим и приравненным к ним лицам;
- подъемное пособие при переезде на новое место работы (службы) лицам, работающим в районах Крайнего Севера и приравненных к ним местностях, судьям, работникам загранучреждений и другим работникам в соответствии с законодательством Российской Федерации;
- единовременное пособие при перезаключении трудового договора;
- возмещение персоналу дополнительных расходов, связанных с проживанием вне места постоянного жительства в служебных командировках (суточные, в том числе выплаты взамен суточных членам экипажей судов заграничного плавания);
- продовольственно-путевые, полевые деньги;
- выплата на первоначальное обзаведение хозяйством сотрудникам учреждений, исполняющих наказания;
- премирование персонала за сбор и сдачу лома и отходов драгоценных металлов и природных алмазов в соответствии с постановлением Правительства Российской Федерации от 5 апреля 1993 года N 288 "О размерах средств на премирование за сбор и сдачу лома и отходов драгоценных металлов и природных алмазов" (Российская газета, 1993, N 72);
- выплаты депутатам, осуществляющим депутатскую деятельность на постоянной основе;
- ежемесячные денежные выплаты членам государственных академий наук;
- выплата стипендий ученым, научным работникам, работникам организаций оборонно-промышленного комплекса;
- другие аналогичные выплаты и пособия персоналу.
</t>
        </r>
      </text>
    </comment>
    <comment ref="A22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по оплате работодателем в пользу персонала и (или) их иждивенцев, не относящихся к заработной плате компенсаций (возмещений) их расходов, обусловленных условиями трудовых отношений, статусом работников (сотрудников), в том числе:
- компенсация расходов на оплату стоимости проезда и провоза багажа к месту использования отпуска и обратно для лиц, работающих в районах Крайнего Севера и приравненных к ним местностях, и членов их семей;
- компенсация (возмещение) расходов по проезду и провозу багажа работника и членов его семьи, заключившего трудовой договор о работе в организации, расположенной в районе Крайнего Севера и приравненных к ним местностях, и прибывшего из другого региона Российской Федерации;
- компенсация расходов, связанных с проездом и провозом багажа при переезде из районов Крайнего Севера к новому месту жительства в другую местность в связи с расторжением трудового договора, лицам, работающим в районах Крайнего Севера, приравненных к ним местностях с неблагоприятными климатическими или экологическими условиями, в том числе отдаленных;
- компенсация (возмещение) расходов по оплате или оплата проезда к месту проведения отпуска и обратно военнослужащим и приравненным к ним лицам, членам их семей;
- компенсация стоимости проезда к месту отпуска и обратно судьям;
- компенсация найма (поднайма) жилых помещений (за исключением служебных командировок) в установленных законодательством Российской Федерации случаях;
- иные аналогичные расходы.</t>
        </r>
      </text>
    </comment>
    <comment ref="A25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на приобретение услуг связи, в том числе:
услуги почтовой связи:
- пересылка почтовых отправлений (включая расходы на упаковку почтового отправления);
- оплата маркированных почтовых уведомлений при пересылке отправлений с уведомлением;
- пересылка пенсий и пособий;
- пересылка почтовой корреспонденции с использованием франкировальной машины;
- приобретение почтовых марок и маркированных конвертов, маркированных почтовых бланков;
- абонентская плата за пользование почтовыми абонентскими ящиками;
услуги фельдъегерской и специальной связи;
услуги телефонно-телеграфной, факсимильной, сотовой, пейджинговой связи, радиосвязи, интернет-провайдеров:
- абонентская и повременная плата за использование линий связи;
- плата за предоставление доступа и использование линий связи, передачу данных по каналам связи;
- плата за регистрацию сокращенного телеграфного адреса, факсов, модемов и других средств связи;
- плата за подключение и абонентское обслуживание в системе электронного документооборота, в том числе с использованием сертифицированных средств криптографической защиты информации;
- плата за приобретение sim-карт для мобильных телефонов, карт оплаты услуг связи;
- плата за оказание услуг по бронированию сетевых ресурсов, необходимых для осуществления присоединения к сети общего пользования;
- оплата услуг связи в целях кабельного и спутникового телевидения;
- плата за предоставление детализированных счетов на оплату услуг связи, предусмотренное договором на оказание услуг связи;
- расходы арендатора по возмещению арендодателю стоимости услуг связи;
другие аналогичные расходы.</t>
        </r>
      </text>
    </comment>
    <comment ref="A26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на приобретение транспортных услуг, в том числе:
провозная плата по договорам перевозки пассажиров и багажа:
- оказание услуг перевозки на основании договора автотранспортного обслуживания, в рамках которого к обязанностям исполнителя относятся, в том числе: техническое обслуживание предоставляемых автомобилей, ремонтные работы (включая диагностику и профилактические работы), осуществление заправки автомобилей, обеспечение горюче-смазочными материалами и запасными частями (при необходимости), осуществление персонального подбора водительского состава, поддержание транспортных средств в надлежащем санитарном состоянии;
- обеспечение должностных лиц проездными документами в служебных целях на все виды общественного транспорта, а также возмещение должностным лицам указанных расходов, в случае, если они не были обеспечены в установленном законодательством Российской Федерации порядке проездными документами;
- расходы по оплате договоров гражданско-правового характера по оказанию услуг по проезду к месту служебной командировки и обратно к месту постоянной работы транспортом общего пользования;
- оплата проезда и услуг, в том числе компенсация (возмещение расходов) по перевозке личного имущества при переезде на новое место службы военнослужащим и приравненным к ним лицам;
- оплата проезда к месту нахождения учебного заведения и обратно персоналу, совмещающему работу с обучением в образовательных учреждениях;
- обеспечение проездными билетами свидетелей, вызываемых следственными или судебными органами, а также возмещение указанных расходов;
- оплата услуг по перевозке спецконтингентов, перевозке осужденных, освобождаемых от ограничения свободы, ареста или лишения свободы на определенный срок, к месту жительства;
- оплата услуг по перевозке несовершеннолетних, самовольно ушедших из семей, детских домов, школ-интернатов, специальных учебно-воспитательных и иных детских учреждений, и сопровождающих их лиц;
плата за перевозку (доставку) грузов (отправлений) по соответствующим договорам перевозки (доставки, фрахтования):
- оплата услуг по перевозке имущества, изъятого или задержанного;
- оплата услуг по перевозке служебных животных;
- оплата услуг по транспортировке источников радиоактивного излучения;
- оплата услуг по доставке специального топлива и горюче-смазочных материалов;
- оплата договоров транспортно-экспедиционных услуг (услуги по организации перевозки груза, заключению договоров перевозки груза, обеспечению отправки и получения груза, а также иные услуги, связанные с перевозкой груза);
- оплата договоров гражданско-правового характера, заключенных с физическими лицами, на оказание транспортных услуг;
- оплата услуг, связанных с заключением перевозчиками договоров страхования во исполнение требований законодательства Российской Федерации о страховании, международных договоров Российской Федерации, являющимися условием осуществления деятельности по перевозкам;
- оплата услуг по комплексному обслуживанию флота (прием хозяйственно-фекальных стоков, пищевых отходов и сухого мусора, а также подсланевых вод с судов, снабжение их питьевой водой у причала, подход топливозаправщика к судну и иное);
другие аналогичные расходы.
Кроме того, на данную подстатью относятся расходы на компенсацию за использование личного транспорта для служебных целей.</t>
        </r>
      </text>
    </comment>
    <comment ref="A28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на приобретение коммунальных услуг, в том числе:
оплата услуг отопления, горячего и холодного водоснабжения, водоотведения, предоставления газа и электроэнергии, тепловой энергии, твердого топлива при наличии печного отопления, обращения с твердыми коммунальными отходами:
- оплата по тарифам за коммунальные услуги;
- оплата услуг канализации, ассенизации;
- расходы на оплату энергосервисных договоров (контрактов);
другие расходы по оплате коммунальных услуг:
- расходы по оплате договоров гражданско-правового характера, заключенных с кочегарами и сезонными истопниками;
- оплата технологических нужд (работ, связанных с предоставлением коммунальных услуг, носящих регламентированный условиями предоставления коммунальных услуг характер (определенный перечень работ и периодичность их выполнения), включенных в обязательства сторон по договору на приобретение коммунальных услуг);
- оплата транспортировки газа, воды, электричества по водо-, газораспределительным и электрическим сетям;
- расходы по оплате договоров на вывоз жидких бытовых отходов при отсутствии централизованной системы канализации;
- расходы арендатора по возмещению арендодателю стоимости коммунальных услуг;
другие аналогичные расходы.</t>
        </r>
      </text>
    </comment>
    <comment ref="A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расходы по оплате договоров на выполнение работ, оказание услуг, связанных с содержанием (работы и услуги, осуществляемые с целью поддержания и (или) восстановления функциональных, пользовательских характеристик объекта), обслуживанием, ремонтом нефинансовых активов, полученных в аренду или безвозмездное пользование, находящихся на праве оперативного управления и в государственной казне Российской Федерации, субъекта Российской Федерации, казне муниципального образования, в том числе на:
содержание нефинансовых активов в чистоте:
- уборку снега, мусора;
- вывоз снега, отходов производства (в том числе, медицинских и радиационно-опасных), включая расходы на оплату договоров, предметом которых является вывоз и утилизация отходов производства в случае, если осуществление действий, направленных на их дальнейшую утилизацию (размещение, захоронение), согласно условиям договора, осуществляет исполнитель;
- дезинфекцию, дезинсекцию, дератизацию, газацию (дегазацию);
- санитарно-гигиеническое обслуживание, мойку и чистку (химчистку) имущества (транспорта, помещений, окон и иного имущества), натирку полов, прачечные услуги;
ремонт (текущий и капитальный) и реставрацию нефинансовых активов:
- устранение неисправностей (восстановление работоспособности) отдельных объектов нефинансовых активов, а также объектов и систем (охранная, пожарная сигнализация, система вентиляции и тому подобное), входящих в состав отдельных объектов нефинансовых активов;
- поддержание технико-экономических и эксплуатационных показателей объектов нефинансовых активов (срок полезного использования, мощность, качество применения, количество и площадь объектов, пропускная способность и тому подобное) на изначально предусмотренном уровне;
- проведение некапитальной перепланировки помещений;
- реставрация музейных предметов и музейных коллекций, включенных в состав музейных фондов;
- проведение работ по реставрации нефинансовых активов, за исключением работ, носящих характер реконструкции, модернизации, дооборудования;
- восстановление эффективности функционирования объектов и систем, гидродинамическая, гидрохимическая очистка, осуществляемые помимо технологических нужд (работы, осуществляемые поставщиком коммунальных услуг, исходя из условий договора поставки коммунальных услуг), расходы на оплату которых, относятся на подстатью 223 "Коммунальные услуги" КОСГУ;
противопожарные мероприятия, связанные с содержанием имущества:
- огнезащитную обработку;
- зарядку огнетушителей;
- установку противопожарных дверей (замену дверей на противопожарные);
- измерение сопротивления изоляции электропроводки, испытание устройств защитного заземления;
- проведение испытаний пожарных кранов;
пусконаладочные работы:
- пусконаладочные работы "под нагрузкой" (расходы некапитального характера, осуществляемые при эксплуатации объектов нефинансовых активов);
расходы на оплату работ (услуг), осуществляемые в целях соблюдения нормативных предписаний по эксплуатации (содержанию) имущества, а также в целях определения его технического состояния:
- государственную поверку, паспортизацию, клеймение средств измерений, в том числе весового хозяйства, манометров, термометров медицинских, уровнемеров, приборов учета, перепадомеров, измерительных медицинских аппаратов, спидометров;
- обследование технического состояния (аттестация) объектов нефинансовых активов, осуществляемое в целях получения информации о необходимости проведения и объемах ремонта, определения возможности дальнейшей эксплуатации (включая, диагностику автотранспортных средств, в том числе при государственном техническом осмотре), ресурса работоспособности;
- энергетическое обследование;
- проведение бактериологических исследований воздуха в помещениях, а также проведение бактериологических исследований иных нефинансовых активов (перевязочного материала, инструментов и тому подобное);
- замазку, оклейку окон;
- услуги по организации питания животных, находящихся в оперативном управлении, а также их ветеринарное обслуживание;
- заправку картриджей;
другие аналогичные расходы.</t>
        </r>
      </text>
    </comment>
    <comment ref="A36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расходы на выполнение работ, оказание услуг, не отнесенных на подстатьи 221 - 225, 227 - 229 КОСГУ, в том числе:
научно-исследовательские, опытно-конструкторские, опытно-технологические, геолого-разведочные работы, услуги по типовому проектированию, проектные и изыскательские работы:
- межевание границ земельных участков;
- работы по типовому проектированию;
- разработка проектной и сметной документации для ремонта объектов нефинансовых активов;
услуги в области информационных технологий:
- приобретение неисключительных прав на результаты интеллектуальной деятельности, в том числе приобретение пользовательских, лицензионных прав на программное обеспечение, приобретение и обновление справочно-информационных баз данных;
- обеспечение безопасности информации и режимно-секретных мероприятий;
- услуги по защите электронного документооборота (поддержке программного продукта) с использованием сертификационных средств криптографической защиты информации;
- периодическая проверка (в том числе аттестация) объекта информатизации (автоматизированного рабочего места) на соответствие специальным требованиям и рекомендациям по защите информации, составляющей государственную тайну, от утечки по техническим каналам;
медицинские услуги (в том числе диспансеризация, медицинский осмотр и освидетельствование работников (включая предрейсовые осмотры водителей), состоящих в штате учреждения, проведение медицинских анализов);
иные работы и услуги:
- проведение государственной экспертизы проектной документации, осуществление строительного контроля, включая авторский надзор за капитальным ремонтом объектов капитального строительства, оплата демонтажных работ (снос строений, перенос коммуникаций и тому подобное);
- услуги по предоставлению выписок из государственных реестров;
- подписка на периодические и справочные издания, в том числе для читальных залов библиотек, с учетом доставки подписных изданий, если она предусмотрена в договоре подписки;
- услуги по курьерской доставке;
- расходы по оплате договоров гражданско-правового характера, предметом которых является оказание услуг по руководству практикой студентов образовательных учреждений высшего образования;
- расходы на оплату услуг по организации питания;
- расходы по оплате договоров гражданско-правового характера на оказание услуг по проживанию в жилых помещениях (найм жилого помещения) на период соревнований, учебной практики;
- оплата за проживание в жилых помещениях понятых, а также иных лиц, принудительно доставленных в суд или к судебному приставу-исполнителю;
- работы по распиловке, колке и укладке дров;
- услуги и работы по утилизации, захоронению отходов;
- работы по присоединению к сетям инженерно-технического обеспечения, по увеличению потребляемой мощности;
- нотариальные услуги (взимание нотариального тарифа за совершение нотариальных действий), за исключением случаев, когда за совершение нотариальных действий предусмотрено взимание государственной пошлины;
- услуги и работы по организации участия в выставках, конференциях, форумах, семинарах, совещаниях, тренингах, соревнованиях и тому подобное (в том числе взносы за участие в указанных мероприятиях);
- услуги по обучению на курсах повышения квалификации, подготовки и переподготовки специалистов;
- выплаты возмещений и компенсаций, связанных с депутатской деятельностью депутатам законодательного собрания, для которых депутатская деятельность не является основной;
- выплаты присяжным, народным, арбитражным заседателям, участвующим в судебном процессе, а также адвокатам в установленном законодательством Российской Федерации порядке;
- оплата юридических и адвокатских услуг, в том числе связанных с представлением интересов Российской Федерации в международных судебных и иных юридических спорах;
- услуги, оказываемые в рамках договора комиссии;
- представительские расходы, прием и обслуживание делегаций;
- оплата работ, услуг в рамках проведения оперативно-розыскных мероприятий;
- расходы, связанные с обеспечением защиты безопасности государства от внешних угроз;
- оплата работ, услуг на проведение отдельных мероприятий в сфере национальной обороны, национальной безопасности, исследований и использования космического пространства, правоохранительной деятельности, развития оборонно-промышленного комплекса и мероприятий по ликвидации последствий деятельности объектов по хранению химического оружия и объектов по уничтожению химического оружия;
другие аналогичные расходы.
Также на данную подстатью относятся расходы на:
возмещение персоналу расходов, связанных со служебными командировками:
- по проезду к месту служебной командировки и обратно к месту постоянной работы транспортом общего пользования, соответственно, к станции, пристани, аэропорту и от станции, пристани, аэропорта, если они находятся за чертой населенного пункта, при наличии документов (билетов), подтверждающих эти расходы;
- по найму жилых помещений;
- по иным расходам, произведенным работником в служебной командировке с разрешения или ведома работодателя в соответствии с коллективным договором или локальным актом работодателя;
возмещение персоналу расходов на прохождение медицинского осмотра;
компенсация за содержание служебных собак по месту жительства;
компенсация стоимости вещевого имущества;
выплата суточных понятым, а также лицам, принудительно доставленным в суд или к судебному приставу-исполнителю;
выплата суточных, а также денежных средств на питание (при невозможности приобретения услуг по его организации), а также компенсация расходов на проезд и проживание в жилых помещениях (найм жилого помещения) спортсменам и студентам при их направлении на различного рода мероприятия (соревнования, олимпиады, учебную практику и иные мероприятия).
Кроме того, на данную подстатью КОСГУ относятся расходы бюджетов территориальных фондов обязательного медицинского страхования, связанные с направлением страховым компаниям средств на ведение дел по обязательному медицинскому страхованию.</t>
        </r>
      </text>
    </comment>
    <comment ref="A45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бюджетов бюджетной системы Российской Федерации на предоставление безвозмездных и безвозвратных трансфертов (субсидий) нефинансовым организациям государственного сектора на производство.</t>
        </r>
      </text>
    </comment>
    <comment ref="A49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ПЕНСИИ</t>
        </r>
      </text>
    </comment>
    <comment ref="A51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пособия за первые три дня временной нетрудоспособности за счет средств работодателя, в случае заболевания работника или полученной им травмы (за исключением несчастных случаев на производстве и профессиональных заболеваний);</t>
        </r>
      </text>
    </comment>
    <comment ref="A53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- НДС и налог на прибыль (в части обязательств государственных (муниципальных) казенных учреждений);
- налог на имущество;
- земельного налога, в том числе в период строительства объекта;</t>
        </r>
      </text>
    </comment>
    <comment ref="A54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уплате штрафов, пеней за несвоевременную уплату налогов, сборов, страховых взносов</t>
        </r>
      </text>
    </comment>
    <comment ref="A55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оплате штрафов за нарушение законодательства Российской Федерации о закупках товаров, работ и услуг, а также уплате штрафных санкций за нарушение условий контрактов (договоров) по поставке товаров, выполнению работ, оказанию услуг.</t>
        </r>
      </text>
    </commen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осуществлению иных выплат юридическим лицам, не являющихся субсидиями в соответствии с бюджетным законодательством Российской Федерации, в том числе:
- возмещение вреда, причиненного юридическому лицу в результате незаконных действий (бездействия) органов государственной власти (государственных органов), органов местного самоуправления, либо должностных лиц этих органов;
- отчисления денежных средств профсоюзным организациям на культурно-массовую и физкультурную работу;
- возмещение истцам (юридическим лицам) судебных издержек на основании вступивших в законную силу судебных актов;
- взносы за членство в организациях, кроме членских взносов в международные организации;
- иные аналогичные расходы.</t>
        </r>
      </text>
    </comment>
    <comment ref="A57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- выплаты бывшим работникам государственных (муниципальных) учреждений к памятным датам, профессиональным праздникам и тому подобное;
- выплаты физическим лицам (за исключением физических лиц - производителей товаров, работ, услуг) государственных премий, грантов, денежных компенсаций, надбавок, иных выплат;
- выплаты государственных премий, грантов в различных областях;</t>
        </r>
      </text>
    </comment>
    <comment ref="A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осуществлению иных выплат юридическим лицам, не являющихся субсидиями в соответствии с бюджетным законодательством Российской Федерации, в том числе:
- возмещение вреда, причиненного юридическому лицу в результате незаконных действий (бездействия) органов государственной власти (государственных органов), органов местного самоуправления, либо должностных лиц этих органов;
- отчисления денежных средств профсоюзным организациям на культурно-массовую и физкультурную работу;
- возмещение истцам (юридическим лицам) судебных издержек на основании вступивших в законную силу судебных актов;
- взносы за членство в организациях, кроме членских взносов в международные организации;
- иные аналогичные расходы.</t>
        </r>
      </text>
    </comment>
    <comment ref="A60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оплате государственных (муниципальных) контрактов, договоров на строительство, приобретение (изготовление) объектов, относящихся к основным средствам, а также на реконструкцию, техническое перевооружение, расширение, модернизацию (модернизацию с дооборудованием) основных средств, находящихся в государственной, муниципальной собственности, полученных в аренду или безвозмездное пользование.</t>
        </r>
      </text>
    </comment>
    <comment ref="A62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На подстатью 343 "Увеличение стоимости горюче-смазочных материалов" КОСГУ относятся расходы по оплате договоров на приобретение (изготовление) горюче-смазочных материалов, в том числе все виды топлива, горючего и смазочных материалов.</t>
        </r>
      </text>
    </comment>
    <comment ref="A63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относятся расходы по оплате договоров на приобретение (изготовление) прочих объектов, относящихся к материальным запасам, в том числе:
- запасных и (или) составных частей для машин, оборудования, оргтехники, вычислительной техники, систем телекоммуникаций и локальных вычислительных сетей, систем передачи и отображения информации, защиты информации, информационно-вычислительных систем, средств связи и тому подобное;
- спецоборудования для научно-исследовательских и опытно-конструкторских работ;
- кухонного инвентаря;
- кормов, средств ухода, дрессировки, экипировки животных;
- материальных запасов в составе имущества казны, в том числе входящих в государственный материальный резерв;
- бланочной продукции (за исключением бланков строгой отчетности);
- другие аналогичные расходы</t>
        </r>
      </text>
    </comment>
    <comment ref="A64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приобретение (изготовление) подарочной и сувенирной продукции, не предназначенной для дальнейшей перепродажи, в том числе:
- поздравительных открыток и вкладышей к ним;
- приветственных адресов, почетных грамот, благодарственных писем, дипломов и удостоверений лауреатов конкурсов для награждения и тому подобное;
- цветов;
приобретение (изготовление) специальной продукции;
приобретение (изготовление) бланков строгой отчетности;
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J9" authorId="0">
      <text>
        <r>
          <rPr>
            <b/>
            <sz val="8"/>
            <color indexed="81"/>
            <rFont val="Tahoma"/>
            <family val="2"/>
            <charset val="204"/>
          </rPr>
          <t>Аппарат представительного органа
92.2.00.91010</t>
        </r>
      </text>
    </comment>
    <comment ref="J15" authorId="0">
      <text>
        <r>
          <rPr>
            <b/>
            <sz val="8"/>
            <color indexed="81"/>
            <rFont val="Tahoma"/>
            <family val="2"/>
            <charset val="204"/>
          </rPr>
          <t>Аппарат представительного органа
92.2.00.91010</t>
        </r>
      </text>
    </comment>
    <comment ref="J16" authorId="0">
      <text>
        <r>
          <rPr>
            <b/>
            <sz val="8"/>
            <color indexed="81"/>
            <rFont val="Tahoma"/>
            <family val="2"/>
            <charset val="204"/>
          </rPr>
          <t>Депутаты представительного органа
92.1.00.91010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I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расчету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расчету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H56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Расчеты к сметам\Расчет командировочных</t>
        </r>
      </text>
    </comment>
    <comment ref="H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Расчеты к сметам\Расчет по 01 04</t>
        </r>
      </text>
    </comment>
    <comment ref="H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Расчеты к сметам\Расчет по 01 04</t>
        </r>
      </text>
    </comment>
  </commentList>
</comments>
</file>

<file path=xl/comments7.xml><?xml version="1.0" encoding="utf-8"?>
<comments xmlns="http://schemas.openxmlformats.org/spreadsheetml/2006/main">
  <authors>
    <author>Автор</author>
  </authors>
  <commentList>
    <comment ref="B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переподготовка финансист
Глава</t>
        </r>
      </text>
    </comment>
    <comment ref="B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ООО "Центр квалификационной поддержки "ВЕКТОР"</t>
        </r>
      </text>
    </comment>
    <comment ref="B6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ООО "Центр квалификационной поддержки "ВЕКТОР"</t>
        </r>
      </text>
    </comment>
    <comment ref="B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ООО "Центр квалификационной поддержки "ВЕКТОР"</t>
        </r>
      </text>
    </comment>
  </commentList>
</comments>
</file>

<file path=xl/comments8.xml><?xml version="1.0" encoding="utf-8"?>
<comments xmlns="http://schemas.openxmlformats.org/spreadsheetml/2006/main">
  <authors>
    <author>Автор</author>
  </authors>
  <commentList>
    <comment ref="I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расчету</t>
        </r>
      </text>
    </comment>
    <comment ref="I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 расчету</t>
        </r>
      </text>
    </comment>
  </commentList>
</comments>
</file>

<file path=xl/comments9.xml><?xml version="1.0" encoding="utf-8"?>
<comments xmlns="http://schemas.openxmlformats.org/spreadsheetml/2006/main">
  <authors>
    <author>Автор</author>
  </authors>
  <commentList>
    <comment ref="F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Обязательно равна сумме ожидаемых поступлений на год</t>
        </r>
      </text>
    </comment>
    <comment ref="F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фактический остаток средств дорожного фонда МО
+
превышение ожидаемого поступления акцизов</t>
        </r>
      </text>
    </comment>
  </commentList>
</comments>
</file>

<file path=xl/sharedStrings.xml><?xml version="1.0" encoding="utf-8"?>
<sst xmlns="http://schemas.openxmlformats.org/spreadsheetml/2006/main" count="4769" uniqueCount="971">
  <si>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и группам видов расходов классификации расходов бюджетов в ведомственной структуре расходов местного бюджета</t>
  </si>
  <si>
    <t>В рублях</t>
  </si>
  <si>
    <t>Норматив отчисления от налога в 2020 году (%)</t>
  </si>
  <si>
    <t>столярная мастерская</t>
  </si>
  <si>
    <t>Кадастровая стоимость ЗУ (руб.)</t>
  </si>
  <si>
    <t>Земельный налог за 2020 год (руб.)</t>
  </si>
  <si>
    <t>Потребление э/энергии (зд.Админ.+гараж)</t>
  </si>
  <si>
    <t>Суб
КОСГУ</t>
  </si>
  <si>
    <t>Сумма
(руб.)</t>
  </si>
  <si>
    <t>Сумма
(тыс. руб.)</t>
  </si>
  <si>
    <t>Итого:</t>
  </si>
  <si>
    <t>Пуст кв</t>
  </si>
  <si>
    <t>Админ</t>
  </si>
  <si>
    <t>Всего коммунальные услуги здания Администрации:</t>
  </si>
  <si>
    <r>
      <t xml:space="preserve">Симонова
</t>
    </r>
    <r>
      <rPr>
        <sz val="9"/>
        <color indexed="10"/>
        <rFont val="Calibri"/>
        <family val="2"/>
        <charset val="204"/>
      </rPr>
      <t>(с ребенком)</t>
    </r>
  </si>
  <si>
    <r>
      <t xml:space="preserve">Командировочные расходы - </t>
    </r>
    <r>
      <rPr>
        <sz val="9"/>
        <color indexed="10"/>
        <rFont val="Calibri"/>
        <family val="2"/>
        <charset val="204"/>
      </rPr>
      <t>суточные</t>
    </r>
  </si>
  <si>
    <r>
      <t xml:space="preserve">Командировочные расходы - </t>
    </r>
    <r>
      <rPr>
        <sz val="9"/>
        <color indexed="10"/>
        <rFont val="Calibri"/>
        <family val="2"/>
        <charset val="204"/>
      </rPr>
      <t>проезд</t>
    </r>
  </si>
  <si>
    <r>
      <t xml:space="preserve">Командировочные расходы - </t>
    </r>
    <r>
      <rPr>
        <sz val="9"/>
        <color indexed="10"/>
        <rFont val="Calibri"/>
        <family val="2"/>
        <charset val="204"/>
      </rPr>
      <t>проживание</t>
    </r>
  </si>
  <si>
    <t>Ограничение (ПФР)</t>
  </si>
  <si>
    <t>Ограничение (ФСС)</t>
  </si>
  <si>
    <t>Ремонт и обсл.орг.техн.
(по дог. ГПХ)</t>
  </si>
  <si>
    <t>ГУП НАО "НКЭС"
абонентская плата за тел.</t>
  </si>
  <si>
    <t>ГУП НАО "НКЭС"
внутризоновые соединения</t>
  </si>
  <si>
    <t>ГУП НАО "НКЭС"
междугородние соединения</t>
  </si>
  <si>
    <t>Почтовые отправления
(марки)</t>
  </si>
  <si>
    <t>Интернет</t>
  </si>
  <si>
    <t>Кол-во
платежей</t>
  </si>
  <si>
    <t>Сумма платежа
с НДС, руб.</t>
  </si>
  <si>
    <t>Стоимость платежа
с НДС, руб.</t>
  </si>
  <si>
    <t>ООО "Меридиан" получение ЭЦП</t>
  </si>
  <si>
    <t>начисления
на з/п</t>
  </si>
  <si>
    <t>Расчет расходов по КОСГУ 343 "Увеличение стоимости горюче-смазочных материалов":</t>
  </si>
  <si>
    <t>звонить в "Позитроника" Нарьян-Мар</t>
  </si>
  <si>
    <r>
      <t xml:space="preserve">Уплата налога на имущество
</t>
    </r>
    <r>
      <rPr>
        <sz val="9"/>
        <color indexed="10"/>
        <rFont val="Calibri"/>
        <family val="2"/>
        <charset val="204"/>
      </rPr>
      <t>0104 93.0.00.91010 851</t>
    </r>
  </si>
  <si>
    <t>Сумма
платежа</t>
  </si>
  <si>
    <r>
      <t xml:space="preserve">Административные правонарушения </t>
    </r>
    <r>
      <rPr>
        <b/>
        <sz val="11"/>
        <color indexed="10"/>
        <rFont val="Calibri"/>
        <family val="2"/>
        <charset val="204"/>
      </rPr>
      <t>(0113 95.0.00.79210 244)</t>
    </r>
  </si>
  <si>
    <t>Расчет расходов по КОСГУ 346 "Увеличение стоимости прочих оборотных запасов (материалов)":</t>
  </si>
  <si>
    <r>
      <t xml:space="preserve">Уплата членских взносов в Ассоциацию "Совет муниципальных образований НАО" </t>
    </r>
    <r>
      <rPr>
        <b/>
        <sz val="11"/>
        <color indexed="10"/>
        <rFont val="Calibri"/>
        <family val="2"/>
        <charset val="204"/>
      </rPr>
      <t>(0113 98.0.00.91040 853)</t>
    </r>
  </si>
  <si>
    <t>Плата за содержание пустующего жилого фонда, находящегося в муниципальной собственности</t>
  </si>
  <si>
    <r>
      <t xml:space="preserve">Содержание жилого фонда
</t>
    </r>
    <r>
      <rPr>
        <sz val="9"/>
        <color indexed="10"/>
        <rFont val="Calibri"/>
        <family val="2"/>
        <charset val="204"/>
      </rPr>
      <t>(98.0.00.91070 244)</t>
    </r>
  </si>
  <si>
    <t>Расчет расходов по КОСГУ 226 "Прочие работы, услуги"</t>
  </si>
  <si>
    <r>
      <t xml:space="preserve">Оценка рыночной стоимости арендной платы муниципального имущества
</t>
    </r>
    <r>
      <rPr>
        <sz val="9"/>
        <color indexed="10"/>
        <rFont val="Calibri"/>
        <family val="2"/>
        <charset val="204"/>
      </rPr>
      <t>(98.0.00.91110 244)</t>
    </r>
  </si>
  <si>
    <t>Итого по КОСГУ 295:</t>
  </si>
  <si>
    <r>
      <t xml:space="preserve">Оценка муниципального имущества </t>
    </r>
    <r>
      <rPr>
        <b/>
        <sz val="11"/>
        <color indexed="10"/>
        <rFont val="Calibri"/>
        <family val="2"/>
        <charset val="204"/>
      </rPr>
      <t>(0113 98.0.00.91110 244)</t>
    </r>
  </si>
  <si>
    <r>
      <t xml:space="preserve">Плата за содержание пустующего жилого фонда, находящегося в муниципальной собственности
</t>
    </r>
    <r>
      <rPr>
        <b/>
        <sz val="11"/>
        <color indexed="10"/>
        <rFont val="Calibri"/>
        <family val="2"/>
        <charset val="204"/>
      </rPr>
      <t>(0113 98.0.00.91070 244)</t>
    </r>
  </si>
  <si>
    <t>98.0.00.91070</t>
  </si>
  <si>
    <r>
      <t>Получатель средств бюджета</t>
    </r>
    <r>
      <rPr>
        <sz val="9"/>
        <rFont val="Calibri"/>
        <family val="2"/>
        <charset val="204"/>
      </rPr>
      <t xml:space="preserve">                           </t>
    </r>
    <r>
      <rPr>
        <u/>
        <sz val="9"/>
        <rFont val="Calibri"/>
        <family val="2"/>
        <charset val="204"/>
      </rPr>
      <t>Администрация МО "Поселок Амдерма"</t>
    </r>
  </si>
  <si>
    <t>98.0.00.91110</t>
  </si>
  <si>
    <t>Стоимость</t>
  </si>
  <si>
    <r>
      <t xml:space="preserve">Осуществление дорожной деятельности за счет средств МО </t>
    </r>
    <r>
      <rPr>
        <b/>
        <sz val="11"/>
        <color indexed="10"/>
        <rFont val="Calibri"/>
        <family val="2"/>
        <charset val="204"/>
      </rPr>
      <t>(0409 98.0.00.93100 244)</t>
    </r>
  </si>
  <si>
    <r>
      <t xml:space="preserve">Проведение кадастровых работ </t>
    </r>
    <r>
      <rPr>
        <b/>
        <sz val="11"/>
        <color indexed="10"/>
        <rFont val="Calibri"/>
        <family val="2"/>
        <charset val="204"/>
      </rPr>
      <t>(0412 98.0.00.93020 244)</t>
    </r>
  </si>
  <si>
    <r>
      <t xml:space="preserve">Мероприятия в области жилищного хозяйства </t>
    </r>
    <r>
      <rPr>
        <b/>
        <sz val="11"/>
        <color indexed="10"/>
        <rFont val="Calibri"/>
        <family val="2"/>
        <charset val="204"/>
      </rPr>
      <t>(0501 98.0.00.96100 244)</t>
    </r>
  </si>
  <si>
    <t>Центральная 5 кв.8</t>
  </si>
  <si>
    <t>Ленина 24 кв.1</t>
  </si>
  <si>
    <t>Дубровина 9 кв.4</t>
  </si>
  <si>
    <t>Дубровина 9 кв.5</t>
  </si>
  <si>
    <t>Дубровина 9 кв.1</t>
  </si>
  <si>
    <r>
      <t xml:space="preserve">Оплата услуг по текущему ремонту помещений
</t>
    </r>
    <r>
      <rPr>
        <sz val="9"/>
        <color indexed="10"/>
        <rFont val="Calibri"/>
        <family val="2"/>
        <charset val="204"/>
      </rPr>
      <t>(согласно предварительным сметным расчетам)</t>
    </r>
  </si>
  <si>
    <r>
      <t xml:space="preserve">Приобретение ТМЦ, инструмента
</t>
    </r>
    <r>
      <rPr>
        <sz val="9"/>
        <color indexed="10"/>
        <rFont val="Calibri"/>
        <family val="2"/>
        <charset val="204"/>
      </rPr>
      <t>(согласно предварительным сметным расчетам)</t>
    </r>
  </si>
  <si>
    <t>1.1.</t>
  </si>
  <si>
    <t>1.2.</t>
  </si>
  <si>
    <t>1.3.</t>
  </si>
  <si>
    <t>1.4.</t>
  </si>
  <si>
    <t>1.5.</t>
  </si>
  <si>
    <t>Благоустройство (уборка, устройство бордюров и пр.)</t>
  </si>
  <si>
    <t>Расчет расходов по КОСГУ 244 "Безвозмездные перечисления нефинансовым организациям государственного сектора на производство":</t>
  </si>
  <si>
    <t>Стоимость захоронения</t>
  </si>
  <si>
    <t>Кол-во захоронений</t>
  </si>
  <si>
    <t>Итого по КОСГУ 264:</t>
  </si>
  <si>
    <t>Оценка недвижимости, признание прав и регулирование отношений по муниципальной собственности</t>
  </si>
  <si>
    <t>Норматив по АУП</t>
  </si>
  <si>
    <t>Нормативная база</t>
  </si>
  <si>
    <t>Лимит норматива</t>
  </si>
  <si>
    <t>Главбухсервис "Госфинансы"</t>
  </si>
  <si>
    <t>Услуги по организации навигации, представительство в Арх-ске
(дог ГПХ с опл. Взнососв Андриевская)</t>
  </si>
  <si>
    <t>Прогнозируемые затраты на
содержание АУП (за искл. МТ)</t>
  </si>
  <si>
    <t>Прогнозируемые затраты на
з/п Главы + МС</t>
  </si>
  <si>
    <t>Налог. и неналог. + дотации:</t>
  </si>
  <si>
    <t>Для расчета сумм по нормативу (№ 303-п от 25.11.19)</t>
  </si>
  <si>
    <t>( по расходам)</t>
  </si>
  <si>
    <t>Кассовый план поступлений на 2020 год</t>
  </si>
  <si>
    <t>Потребление э/энергии (пустующие кв.)</t>
  </si>
  <si>
    <t>М.В. Златова</t>
  </si>
  <si>
    <t>1.6.</t>
  </si>
  <si>
    <t>Ленина 24 кв.17</t>
  </si>
  <si>
    <t>Дизельное топливо</t>
  </si>
  <si>
    <t>Машинное масло</t>
  </si>
  <si>
    <t>Журнал "Кадровик"</t>
  </si>
  <si>
    <t>Прогноз УФК на 2020 год (рублей)</t>
  </si>
  <si>
    <t>Рублей</t>
  </si>
  <si>
    <t>ФОТ на год
(тыс. руб.)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</si>
  <si>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</si>
  <si>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</si>
  <si>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</si>
  <si>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220 2 02 16001 10 0000 150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</si>
  <si>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</si>
  <si>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Иные межбюджетные трансферты в рамках МП "Безопасность на территории муниципального района "Заполярный район" на 2019-2030 годы", в том числе:</t>
  </si>
  <si>
    <t>Даничева</t>
  </si>
  <si>
    <t>Ипполитова</t>
  </si>
  <si>
    <t>Димитрова</t>
  </si>
  <si>
    <t>Программа профессиональной переподготовки</t>
  </si>
  <si>
    <t>Гражданская оборона, защита населения от ЧС природного и техногенного характера</t>
  </si>
  <si>
    <t>Пожарно-технический минимум для руководителей и ответственных за пожарную безопасность в учреждениях (в офисах)</t>
  </si>
  <si>
    <t>Охрана труда для руководителей и специалистов организации</t>
  </si>
  <si>
    <t>Замена электрокабеля на столбах УО</t>
  </si>
  <si>
    <t>98.0.00.96030</t>
  </si>
  <si>
    <t>Муниципальная программа "Безопасность на территории муниципального района "Заполярный район" на 2019-2030 годы"</t>
  </si>
  <si>
    <t>Мероприятия по замене электрокабеля на столбах уличного освещения</t>
  </si>
  <si>
    <r>
      <t xml:space="preserve">Мероприятия по замене электрокабеля на столбах уличного освещения </t>
    </r>
    <r>
      <rPr>
        <b/>
        <sz val="11"/>
        <color indexed="10"/>
        <rFont val="Calibri"/>
        <family val="2"/>
        <charset val="204"/>
      </rPr>
      <t>(0503 98.0.00.96030 244)</t>
    </r>
  </si>
  <si>
    <t>Потребление водоснаб (пустующие кв.)</t>
  </si>
  <si>
    <t>АО "Управление перспективных технологий"</t>
  </si>
  <si>
    <t>Договор ГПХ на установку памятника
(Лобанков)</t>
  </si>
  <si>
    <t>Бухгалтерский шкаф</t>
  </si>
  <si>
    <t>Пылесос</t>
  </si>
  <si>
    <r>
      <t xml:space="preserve">Ремонт линии электропередач уличного освещения </t>
    </r>
    <r>
      <rPr>
        <b/>
        <sz val="11"/>
        <color indexed="10"/>
        <rFont val="Calibri"/>
        <family val="2"/>
        <charset val="204"/>
      </rPr>
      <t>(0503 98.0.00.96040 244)</t>
    </r>
  </si>
  <si>
    <t>Ремонт линии электропередач уличного освещения</t>
  </si>
  <si>
    <t>Вывоз ТКО</t>
  </si>
  <si>
    <t>1.7.</t>
  </si>
  <si>
    <t>Прочие</t>
  </si>
  <si>
    <t>Доходы от компенсации затрат государства</t>
  </si>
  <si>
    <t>000 1 13 02000 00 0000 130</t>
  </si>
  <si>
    <t>Пятакова</t>
  </si>
  <si>
    <t>98.0.00.96040</t>
  </si>
  <si>
    <t>на 2021 год и плановый период 2022-2023 годов</t>
  </si>
  <si>
    <t>на 2021 год</t>
  </si>
  <si>
    <t>Фактически поступило (по состоянию на 01.11.2020), рублей</t>
  </si>
  <si>
    <t>Ожидаемая оценка поступлений в 2020 году, рублей</t>
  </si>
  <si>
    <t>Проект бюджета на 2021 год, рублей</t>
  </si>
  <si>
    <t>Проект бюджета на 2021 год, тыс. рублей</t>
  </si>
  <si>
    <t>Фактически исполнено за 10 месяцев</t>
  </si>
  <si>
    <t>Ожидаемая оценка поступлений в 2020 году, тыс. руб.</t>
  </si>
  <si>
    <t>Проект бюджета на 2023 год, тыс. руб.</t>
  </si>
  <si>
    <r>
      <t xml:space="preserve">Прогноз УФК на 2023 год (рублей)
</t>
    </r>
    <r>
      <rPr>
        <sz val="9"/>
        <color indexed="10"/>
        <rFont val="Calibri"/>
        <family val="2"/>
        <charset val="204"/>
      </rPr>
      <t>НЕТ ДАННЫХ</t>
    </r>
  </si>
  <si>
    <t>Ожидаемая оценка поступлений за 2020 год (тыс.руб.)</t>
  </si>
  <si>
    <t>Сумма поступлений за 2018 год (тыс.руб.)</t>
  </si>
  <si>
    <t>Сумма поступлений за 2019 год (тыс.руб.)</t>
  </si>
  <si>
    <t>Исчисленная сумма налога за 2014 год (тыс.руб.)</t>
  </si>
  <si>
    <t>Исчисленная сумма налога за 2015 год (тыс.руб.)</t>
  </si>
  <si>
    <t>Исчисленная сумма налога за 2016 год (тыс.руб.)</t>
  </si>
  <si>
    <t>Исчисленная сумма налога за 2017 год (тыс.руб.)</t>
  </si>
  <si>
    <t>Средняя сумма исчисленного налога за 3 года</t>
  </si>
  <si>
    <t>(по прогнозным данным 2020 года, с учетом остатков)</t>
  </si>
  <si>
    <t>Количество экземпляров на 01.01.2020 (шт)</t>
  </si>
  <si>
    <t>Количество экземпляров на 01.01.2021 (прогноз) (шт)</t>
  </si>
  <si>
    <t>Год.ФОТ
(тыс. руб.)</t>
  </si>
  <si>
    <t>Год. отчисл.
(руб.)</t>
  </si>
  <si>
    <t>Год.ФОТ
(руб.)</t>
  </si>
  <si>
    <t>Год. отчисл.
(тыс. руб.)</t>
  </si>
  <si>
    <t>Старший специалист</t>
  </si>
  <si>
    <t xml:space="preserve">Специалист </t>
  </si>
  <si>
    <t>Сверх огранич.</t>
  </si>
  <si>
    <r>
      <t xml:space="preserve">Златова
</t>
    </r>
    <r>
      <rPr>
        <sz val="9"/>
        <color indexed="10"/>
        <rFont val="Calibri"/>
        <family val="2"/>
        <charset val="204"/>
      </rPr>
      <t>(с ребенком)</t>
    </r>
  </si>
  <si>
    <t>Вылко</t>
  </si>
  <si>
    <t>дог. № ___</t>
  </si>
  <si>
    <t>Системный блок в сборе</t>
  </si>
  <si>
    <t>ИБП</t>
  </si>
  <si>
    <t>Исходя из уточнённого плана на 2020 г.</t>
  </si>
  <si>
    <r>
      <t>Контрольно-счетная палата Заполярного района</t>
    </r>
    <r>
      <rPr>
        <sz val="9"/>
        <color indexed="10"/>
        <rFont val="Calibri"/>
        <family val="2"/>
        <charset val="204"/>
      </rPr>
      <t xml:space="preserve"> (согласно письму от КСП ЗР от 14.07.2020 №352)</t>
    </r>
  </si>
  <si>
    <t>Лимиты коммунальных услуг от МР ЗР на 2021 год</t>
  </si>
  <si>
    <r>
      <t xml:space="preserve">Челнский взносы
</t>
    </r>
    <r>
      <rPr>
        <sz val="9"/>
        <color indexed="10"/>
        <rFont val="Calibri"/>
        <family val="2"/>
        <charset val="204"/>
      </rPr>
      <t>(письмо  № 46 от 14.08.2020)</t>
    </r>
  </si>
  <si>
    <t>поступления из окружного бюджета на 2021 год:</t>
  </si>
  <si>
    <t>данные на 01.01.2020 года!</t>
  </si>
  <si>
    <r>
      <t xml:space="preserve">Организация обучения неработающего населения в области гражданской обороны и защиты от чрезвычайных ситуаций
</t>
    </r>
    <r>
      <rPr>
        <sz val="9"/>
        <color indexed="10"/>
        <rFont val="Calibri"/>
        <family val="2"/>
        <charset val="204"/>
      </rPr>
      <t>(0314 33.0.00.89240 244)</t>
    </r>
  </si>
  <si>
    <r>
      <t xml:space="preserve">Предупреждение и ликвидация последствий ЧС в границах поселений муниципальных образований
</t>
    </r>
    <r>
      <rPr>
        <sz val="9"/>
        <color indexed="10"/>
        <rFont val="Calibri"/>
        <family val="2"/>
        <charset val="204"/>
      </rPr>
      <t>(0310 33.0.00.89240 244)</t>
    </r>
  </si>
  <si>
    <r>
      <t xml:space="preserve"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
</t>
    </r>
    <r>
      <rPr>
        <sz val="9"/>
        <color indexed="10"/>
        <rFont val="Calibri"/>
        <family val="2"/>
        <charset val="204"/>
      </rPr>
      <t>(0309 33.0.00.89240 244)</t>
    </r>
  </si>
  <si>
    <r>
      <t xml:space="preserve">Оплата коммунальных услуг здания Администрации МО </t>
    </r>
    <r>
      <rPr>
        <b/>
        <sz val="11"/>
        <color indexed="10"/>
        <rFont val="Calibri"/>
        <family val="2"/>
        <charset val="204"/>
      </rPr>
      <t>(0104 31.6.00.89220 244 223)</t>
    </r>
  </si>
  <si>
    <r>
      <t xml:space="preserve">Оплата коммунальных услуг пустующих квартир </t>
    </r>
    <r>
      <rPr>
        <b/>
        <sz val="11"/>
        <color indexed="10"/>
        <rFont val="Calibri"/>
        <family val="2"/>
        <charset val="204"/>
      </rPr>
      <t>(0113 31.6.00.89220 244)</t>
    </r>
  </si>
  <si>
    <t>Остаток средств на 01.01.2021</t>
  </si>
  <si>
    <r>
      <t xml:space="preserve">Мероприятия в области жилищного хозяйства </t>
    </r>
    <r>
      <rPr>
        <b/>
        <sz val="11"/>
        <color indexed="10"/>
        <rFont val="Calibri"/>
        <family val="2"/>
        <charset val="204"/>
      </rPr>
      <t>(0501 35.0.00.89250 244)</t>
    </r>
  </si>
  <si>
    <t>Кол-во ипу</t>
  </si>
  <si>
    <r>
      <t xml:space="preserve">Мероприятие "Поверка индивидуальных приборов учета </t>
    </r>
    <r>
      <rPr>
        <sz val="9"/>
        <color indexed="10"/>
        <rFont val="Calibri"/>
        <family val="2"/>
        <charset val="204"/>
      </rPr>
      <t>холодного водоснабжения</t>
    </r>
    <r>
      <rPr>
        <sz val="9"/>
        <rFont val="Calibri"/>
        <family val="2"/>
        <charset val="204"/>
      </rPr>
      <t xml:space="preserve"> в многоквартирных жилых домах в поселке Амдерма"</t>
    </r>
  </si>
  <si>
    <r>
      <t xml:space="preserve">Мероприятие "Поверка индивидуальных приборов учета </t>
    </r>
    <r>
      <rPr>
        <sz val="9"/>
        <color indexed="10"/>
        <rFont val="Calibri"/>
        <family val="2"/>
        <charset val="204"/>
      </rPr>
      <t xml:space="preserve">горячего водоснабжения </t>
    </r>
    <r>
      <rPr>
        <sz val="9"/>
        <rFont val="Calibri"/>
        <family val="2"/>
        <charset val="204"/>
      </rPr>
      <t>в многоквартирных жилых домах в поселке Амдерма"</t>
    </r>
  </si>
  <si>
    <t>Выполнение работ по промывке, испытаний на плотность и прочность системы отопления потребителя тепловой энергии</t>
  </si>
  <si>
    <r>
      <t xml:space="preserve">Выполнение работ по гидравлической промывке, испытаний на плотность и прочность системы отопления потребителей тепловой энергии </t>
    </r>
    <r>
      <rPr>
        <b/>
        <sz val="11"/>
        <color indexed="10"/>
        <rFont val="Calibri"/>
        <family val="2"/>
        <charset val="204"/>
      </rPr>
      <t>(0113 31.2.00.89210 244)</t>
    </r>
  </si>
  <si>
    <t>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</si>
  <si>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r>
      <t xml:space="preserve">Содержание площадок ТКО </t>
    </r>
    <r>
      <rPr>
        <b/>
        <sz val="11"/>
        <color indexed="10"/>
        <rFont val="Calibri"/>
        <family val="2"/>
        <charset val="204"/>
      </rPr>
      <t>(0502 36.0.00.89260 244)</t>
    </r>
  </si>
  <si>
    <r>
      <t xml:space="preserve">Осуществление дорожной деятельности за счет средств ЗР </t>
    </r>
    <r>
      <rPr>
        <b/>
        <sz val="11"/>
        <color indexed="10"/>
        <rFont val="Calibri"/>
        <family val="2"/>
        <charset val="204"/>
      </rPr>
      <t>(0409 39.0.00.89290 244)</t>
    </r>
  </si>
  <si>
    <r>
      <t xml:space="preserve">Уличное освещение </t>
    </r>
    <r>
      <rPr>
        <b/>
        <sz val="11"/>
        <color indexed="10"/>
        <rFont val="Calibri"/>
        <family val="2"/>
        <charset val="204"/>
      </rPr>
      <t>(0503 32.0.00.89230 244)</t>
    </r>
  </si>
  <si>
    <t>БЕЗ учета установки новых светильников УО</t>
  </si>
  <si>
    <r>
      <t xml:space="preserve">Благоустройство </t>
    </r>
    <r>
      <rPr>
        <b/>
        <sz val="11"/>
        <color indexed="10"/>
        <rFont val="Calibri"/>
        <family val="2"/>
        <charset val="204"/>
      </rPr>
      <t>(0503 32.0.00.89230 244)</t>
    </r>
  </si>
  <si>
    <r>
      <t xml:space="preserve">Расчет расходов по КОСГУ 264 "Пенсии, пособия, выплачиваемые работодателями, нанимателями бывшим работникам": </t>
    </r>
    <r>
      <rPr>
        <b/>
        <i/>
        <sz val="10"/>
        <color indexed="10"/>
        <rFont val="Calibri"/>
        <family val="2"/>
        <charset val="204"/>
      </rPr>
      <t>(1001 31.6.00.89220 312)</t>
    </r>
  </si>
  <si>
    <t>Ленина 13 кв.17</t>
  </si>
  <si>
    <t>Установка крана, лампочек</t>
  </si>
  <si>
    <t>уборка мусора</t>
  </si>
  <si>
    <t>Уточнить по приказу пенсионного и постановлению МО</t>
  </si>
  <si>
    <r>
      <t xml:space="preserve"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</t>
    </r>
    <r>
      <rPr>
        <b/>
        <u/>
        <sz val="10"/>
        <rFont val="Calibri"/>
        <family val="2"/>
        <charset val="204"/>
      </rPr>
      <t>автомобильных дорог</t>
    </r>
    <r>
      <rPr>
        <sz val="10"/>
        <rFont val="Calibri"/>
        <family val="2"/>
        <charset val="204"/>
      </rPr>
      <t xml:space="preserve"> общего пользования местного значения)</t>
    </r>
  </si>
  <si>
    <r>
      <t xml:space="preserve">Выполнение работ по </t>
    </r>
    <r>
      <rPr>
        <b/>
        <u/>
        <sz val="10"/>
        <rFont val="Calibri"/>
        <family val="2"/>
        <charset val="204"/>
      </rPr>
      <t>промывке</t>
    </r>
    <r>
      <rPr>
        <sz val="10"/>
        <rFont val="Calibri"/>
        <family val="2"/>
        <charset val="204"/>
      </rPr>
      <t>, испытаний на плотность и прочность системы отопления потребителя тепловой энергии</t>
    </r>
  </si>
  <si>
    <r>
      <t xml:space="preserve">Расходы на </t>
    </r>
    <r>
      <rPr>
        <b/>
        <u/>
        <sz val="10"/>
        <rFont val="Calibri"/>
        <family val="2"/>
        <charset val="204"/>
      </rPr>
      <t>выплату пенсий</t>
    </r>
    <r>
      <rPr>
        <sz val="10"/>
        <rFont val="Calibri"/>
        <family val="2"/>
        <charset val="204"/>
      </rPr>
      <t xml:space="preserve"> за выслугу лет лицам, замещавшим выборные должности и должности муниципальной службы</t>
    </r>
  </si>
  <si>
    <r>
      <t xml:space="preserve">Расходы, связанные с организацией и проведением </t>
    </r>
    <r>
      <rPr>
        <b/>
        <u/>
        <sz val="10"/>
        <rFont val="Calibri"/>
        <family val="2"/>
        <charset val="204"/>
      </rPr>
      <t>выборов</t>
    </r>
    <r>
      <rPr>
        <sz val="10"/>
        <rFont val="Calibri"/>
        <family val="2"/>
        <charset val="204"/>
      </rPr>
      <t xml:space="preserve"> депутатов представительных органов местного самоуправления и глав местных администраций</t>
    </r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</si>
  <si>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годы", в том числе:</t>
  </si>
  <si>
    <r>
      <rPr>
        <b/>
        <u/>
        <sz val="10"/>
        <rFont val="Calibri"/>
        <family val="2"/>
        <charset val="204"/>
      </rPr>
      <t>Содержание площадок накопления твердых коммунальных отходов</t>
    </r>
    <r>
      <rPr>
        <sz val="10"/>
        <rFont val="Calibri"/>
        <family val="2"/>
        <charset val="204"/>
      </rPr>
      <t xml:space="preserve">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  </r>
  </si>
  <si>
    <t>Иные межбюджетные трансферты в рамках муниципальной программы "Развитие коммунальной инфраструктуры муниципального района "Заполярный район" на 2020-2030 годы", в том числе:</t>
  </si>
  <si>
    <r>
      <rPr>
        <b/>
        <u/>
        <sz val="10"/>
        <rFont val="Calibri"/>
        <family val="2"/>
        <charset val="204"/>
      </rPr>
      <t>Организация обучения</t>
    </r>
    <r>
      <rPr>
        <sz val="10"/>
        <rFont val="Calibri"/>
        <family val="2"/>
        <charset val="204"/>
      </rPr>
      <t xml:space="preserve"> неработающего населения в области гражданской обороны и защиты от чрезвычайных ситуаций</t>
    </r>
  </si>
  <si>
    <t>Иные межбюджетные трансферты в рамках муниципальной программы "Развитие административной системы местного самоуправления муниципального района "Заполярный район" на 2017-2025 годы", подпрограммы 2 "Управление муниципальным имуществом", в том числе:</t>
  </si>
  <si>
    <t>Иные межбюджетные трансферты в рамках муниципальной программы "Развитие административной системы местного самоуправления муниципального района "Заполярный район" на 2017-2025 годы", подпрограммы 6 "Возмещение части затрат органов местного самоуправления поселений Ненецкого автономного округа", в том числе: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</si>
  <si>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годы", в том числе: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</si>
  <si>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годы", в том числе:</t>
  </si>
  <si>
    <t>31.6.00.89220</t>
  </si>
  <si>
    <t>Всего коммунальные услуги по пуст. кв.:</t>
  </si>
  <si>
    <t>31.2.00.89210</t>
  </si>
  <si>
    <t>33.0.00.89240</t>
  </si>
  <si>
    <t>14</t>
  </si>
  <si>
    <t>Другие вопросы в области национальной безопасности и правоохранительной деятельности</t>
  </si>
  <si>
    <t>39.0.00.89290</t>
  </si>
  <si>
    <t>35.0.00.89250</t>
  </si>
  <si>
    <t>36.0.00.89260</t>
  </si>
  <si>
    <t>32.0.00.89230</t>
  </si>
  <si>
    <t>98.0.00.89140</t>
  </si>
  <si>
    <r>
      <t xml:space="preserve">Ассигнования, выделенные ЗР, на организацию ритуальных услуг
</t>
    </r>
    <r>
      <rPr>
        <sz val="9"/>
        <color indexed="10"/>
        <rFont val="Calibri"/>
        <family val="2"/>
        <charset val="204"/>
      </rPr>
      <t>(0505 98.0.00.89140 811)</t>
    </r>
  </si>
  <si>
    <r>
      <t xml:space="preserve">Ассигнования МО, на организацию ритуальных услуг
</t>
    </r>
    <r>
      <rPr>
        <sz val="9"/>
        <color indexed="10"/>
        <rFont val="Calibri"/>
        <family val="2"/>
        <charset val="204"/>
      </rPr>
      <t>(0505 98.0.00.96010 811)</t>
    </r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</si>
  <si>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</si>
  <si>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r>
      <t xml:space="preserve"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 </t>
    </r>
    <r>
      <rPr>
        <i/>
        <sz val="10"/>
        <rFont val="Calibri"/>
        <family val="2"/>
        <charset val="204"/>
      </rPr>
      <t>(Расходы на оплату коммунальных услуг и приобретение твердого топлива)</t>
    </r>
  </si>
  <si>
    <t>Межбюджетный трансферт, предоставляемый из бюджета поселения в бюджет муниципального района на осуществление полномочий контрольно-счетного органа муниципального образования по осуществлению внешнего муниципального финансового контроля</t>
  </si>
  <si>
    <t>Подпрограмма 2 "Управление муниципальным имуществом"</t>
  </si>
  <si>
    <t>31.2.00.00000</t>
  </si>
  <si>
    <r>
      <t xml:space="preserve">Иные межбюджетные трансферты в рамках подпрограммы 2 "Управление муниципальным имуществом"
</t>
    </r>
    <r>
      <rPr>
        <i/>
        <sz val="10"/>
        <rFont val="Calibri"/>
        <family val="2"/>
        <charset val="204"/>
      </rPr>
      <t>(Выполнение работ по промывке, испытаний на плотность и прочность системы отопления потребителя тепловой энергии)</t>
    </r>
  </si>
  <si>
    <r>
      <t xml:space="preserve">Иные межбюджетные трансферты в рамках МП "Безопасность на территории муниципального района "Заполярный район" на 2019-2030 годы"
</t>
    </r>
    <r>
      <rPr>
        <i/>
        <sz val="10"/>
        <rFont val="Calibri"/>
        <family val="2"/>
        <charset val="204"/>
      </rPr>
      <t>(Техническое обслуживание)</t>
    </r>
  </si>
  <si>
    <r>
      <t xml:space="preserve">Иные межбюджетные трансферты в рамках МП "Безопасность на территории муниципального района "Заполярный район" на 2019-2030 годы"
</t>
    </r>
    <r>
      <rPr>
        <i/>
        <sz val="10"/>
        <rFont val="Calibri"/>
        <family val="2"/>
        <charset val="204"/>
      </rPr>
      <t>(Предупреждение и ликвидация последствий ЧС)</t>
    </r>
  </si>
  <si>
    <r>
      <t xml:space="preserve">Иные межбюджетные трансферты в рамках МП "Безопасность на территории муниципального района "Заполярный район" на 2019-2030 годы"
</t>
    </r>
    <r>
      <rPr>
        <i/>
        <sz val="10"/>
        <rFont val="Calibri"/>
        <family val="2"/>
        <charset val="204"/>
      </rPr>
      <t>(Организация обучения неработающего населения)</t>
    </r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</si>
  <si>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</si>
  <si>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</si>
  <si>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Иные межбюджетные трансферты в рамках МП "Развитие транспортной инфраструктуры муниципального района "Заполярный район" на 2021-2030 годы"</t>
  </si>
  <si>
    <t>35.0.00.00000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</si>
  <si>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</si>
  <si>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Иные межбюджетные трансферты в рамках МП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</si>
  <si>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36.0.00.00000</t>
  </si>
  <si>
    <t>Муниципальная программа "Развитие коммунальной инфраструктуры муниципального района "Заполярный район" на 2020-2030 годы"</t>
  </si>
  <si>
    <r>
      <t xml:space="preserve">Иные межбюджетные трансферты в рамках МП "Развитие коммунальной инфраструктуры муниципального района "Заполярный район" на 2020-2030 годы"
</t>
    </r>
    <r>
      <rPr>
        <i/>
        <sz val="10"/>
        <rFont val="Calibri"/>
        <family val="2"/>
        <charset val="204"/>
      </rPr>
      <t>(содержание площадок ТКО)</t>
    </r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</si>
  <si>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</si>
  <si>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r>
      <t xml:space="preserve">Иные межбюджетные трансферты в рамках МП "Развитие социальной инфраструктуры и создание комфортных условий проживания на территории муниципального района "Заполярный район" на 2021-2030 годы"
</t>
    </r>
    <r>
      <rPr>
        <i/>
        <sz val="10"/>
        <rFont val="Calibri"/>
        <family val="2"/>
        <charset val="204"/>
      </rPr>
      <t>(Благоустройство, уличное освещение)</t>
    </r>
  </si>
  <si>
    <r>
      <t xml:space="preserve">Закупка товаров, работ и услуг для обеспечения государственных (муниципальных) нужд
</t>
    </r>
    <r>
      <rPr>
        <i/>
        <sz val="10"/>
        <color indexed="10"/>
        <rFont val="Calibri"/>
        <family val="2"/>
        <charset val="204"/>
      </rPr>
      <t>(Благоустройство)</t>
    </r>
  </si>
  <si>
    <t>проверка</t>
  </si>
  <si>
    <t>Дефицит бюджета 2021</t>
  </si>
  <si>
    <r>
      <t>Мероприятие "</t>
    </r>
    <r>
      <rPr>
        <b/>
        <u/>
        <sz val="10"/>
        <rFont val="Calibri"/>
        <family val="2"/>
        <charset val="204"/>
      </rPr>
      <t>Поверка индивидуальных приборов учета горячего водоснабжения</t>
    </r>
    <r>
      <rPr>
        <sz val="10"/>
        <rFont val="Calibri"/>
        <family val="2"/>
        <charset val="204"/>
      </rPr>
      <t xml:space="preserve"> в многоквартирных жилых домах в поселке Амдерма"</t>
    </r>
  </si>
  <si>
    <r>
      <t>Мероприятие "</t>
    </r>
    <r>
      <rPr>
        <b/>
        <u/>
        <sz val="10"/>
        <rFont val="Calibri"/>
        <family val="2"/>
        <charset val="204"/>
      </rPr>
      <t>Поверка индивидуальных приборов учета холодного водоснабжения</t>
    </r>
    <r>
      <rPr>
        <sz val="10"/>
        <rFont val="Calibri"/>
        <family val="2"/>
        <charset val="204"/>
      </rPr>
      <t xml:space="preserve"> в многоквартирных жилых домах в поселке Амдерма"</t>
    </r>
  </si>
  <si>
    <r>
      <t xml:space="preserve">Предупреждение и </t>
    </r>
    <r>
      <rPr>
        <b/>
        <u/>
        <sz val="10"/>
        <rFont val="Calibri"/>
        <family val="2"/>
        <charset val="204"/>
      </rPr>
      <t>ликвидация последствий ЧС</t>
    </r>
    <r>
      <rPr>
        <sz val="10"/>
        <rFont val="Calibri"/>
        <family val="2"/>
        <charset val="204"/>
      </rPr>
      <t xml:space="preserve"> в границах поселений муниципальных образований</t>
    </r>
  </si>
  <si>
    <r>
      <rPr>
        <b/>
        <u/>
        <sz val="10"/>
        <rFont val="Calibri"/>
        <family val="2"/>
        <charset val="204"/>
      </rPr>
      <t>Техническое обслуживание</t>
    </r>
    <r>
      <rPr>
        <sz val="10"/>
        <rFont val="Calibri"/>
        <family val="2"/>
        <charset val="204"/>
      </rPr>
      <t xml:space="preserve"> и планово-предупредительный ремонт систем видеонаблюдения в местах массового пребывания людей, расположенных на территории МО</t>
    </r>
  </si>
  <si>
    <r>
      <rPr>
        <sz val="10"/>
        <color indexed="10"/>
        <rFont val="Calibri"/>
        <family val="2"/>
        <charset val="204"/>
      </rPr>
      <t>ПРЕДПОЛОГАЕМЫЙ</t>
    </r>
    <r>
      <rPr>
        <sz val="10"/>
        <rFont val="Calibri"/>
        <family val="2"/>
        <charset val="204"/>
      </rPr>
      <t xml:space="preserve"> остаток средств на 01.01.2021</t>
    </r>
  </si>
  <si>
    <t>Норматив по з/п (КОСГУ 211) Главы + МС</t>
  </si>
  <si>
    <t>Очередной 
финансовый
2021 год</t>
  </si>
  <si>
    <t>1-й год, 2022 год</t>
  </si>
  <si>
    <t>2-й год, 2023 год</t>
  </si>
  <si>
    <t>Расчет поступления доходов от уплаты акцизов (прогноз отчислений)</t>
  </si>
  <si>
    <t>(норматив отчислений на 2020г. 1,64%)</t>
  </si>
  <si>
    <t>* до начала 2019 года норматив отчислений составлял 25%</t>
  </si>
  <si>
    <t>Отчисления от налога, рублей</t>
  </si>
  <si>
    <r>
      <t xml:space="preserve">Поддержка предпринимательства </t>
    </r>
    <r>
      <rPr>
        <b/>
        <sz val="11"/>
        <color indexed="10"/>
        <rFont val="Calibri"/>
        <family val="2"/>
        <charset val="204"/>
      </rPr>
      <t>(0412 40.0.00.93030 244)</t>
    </r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</si>
  <si>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</si>
  <si>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</si>
  <si>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изменилось </t>
  </si>
  <si>
    <t>стало</t>
  </si>
  <si>
    <r>
      <t xml:space="preserve"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 </t>
    </r>
    <r>
      <rPr>
        <i/>
        <sz val="10"/>
        <rFont val="Calibri"/>
        <family val="2"/>
        <charset val="204"/>
      </rPr>
      <t>(Выплата пенсии за выслугу лет)</t>
    </r>
  </si>
  <si>
    <t>Объем МТ из района:</t>
  </si>
  <si>
    <t>Объем МТ из округа:</t>
  </si>
  <si>
    <t>ТКО</t>
  </si>
  <si>
    <t>Оплата ТКО</t>
  </si>
  <si>
    <t>К проекту среднесрочного финансового плана</t>
  </si>
  <si>
    <t xml:space="preserve">Доходы местного бюджета </t>
  </si>
  <si>
    <t>Единица измерения: тыс. руб.</t>
  </si>
  <si>
    <t>Код бюджетной классификации РФ</t>
  </si>
  <si>
    <t>Наименование статьи доходов</t>
  </si>
  <si>
    <t>Плановый период</t>
  </si>
  <si>
    <t>Доходы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</si>
  <si>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</si>
  <si>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</si>
  <si>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</si>
  <si>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</si>
  <si>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</si>
  <si>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</si>
  <si>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</si>
  <si>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</si>
  <si>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</si>
  <si>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</si>
  <si>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</si>
  <si>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</si>
  <si>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</si>
  <si>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</si>
  <si>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</si>
  <si>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</si>
  <si>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</si>
  <si>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</si>
  <si>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</si>
  <si>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</si>
  <si>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</si>
  <si>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</si>
  <si>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182 1 05 01011 01 0000 110</t>
  </si>
  <si>
    <t>000 1 06 00000 00 0000 000</t>
  </si>
  <si>
    <t>Налоги на имущество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</si>
  <si>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</si>
  <si>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</si>
  <si>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</si>
  <si>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</si>
  <si>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</si>
  <si>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</si>
  <si>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</si>
  <si>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</si>
  <si>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</si>
  <si>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220 1 08 04020 01 0000 110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</si>
  <si>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</si>
  <si>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</si>
  <si>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</si>
  <si>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</si>
  <si>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</si>
  <si>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</si>
  <si>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</si>
  <si>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220 1 11 05035 10 0000 120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</si>
  <si>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</si>
  <si>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</si>
  <si>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</si>
  <si>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</si>
  <si>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220 1 11 09045 10 0000 120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</si>
  <si>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</si>
  <si>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</si>
  <si>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</si>
  <si>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</si>
  <si>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</si>
  <si>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000 1 14 02050 10 0000 440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</si>
  <si>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</si>
  <si>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220 1 14 02053 10 0000 440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</si>
  <si>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</si>
  <si>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000 1 16 00000 00 00000 000</t>
  </si>
  <si>
    <t>ШТРАФЫ, САНКЦИИ, ВОЗМЕЩЕНИЕ УЩЕРБА</t>
  </si>
  <si>
    <t>161 1 16 33050 10 0000 140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</si>
  <si>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</si>
  <si>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161 1 16 33050 10 6000 140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</si>
  <si>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</si>
  <si>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</si>
  <si>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</si>
  <si>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</si>
  <si>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</si>
  <si>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</si>
  <si>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</si>
  <si>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Прочие дотации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</si>
  <si>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</si>
  <si>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</si>
  <si>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Федерации, в том числе:</t>
  </si>
  <si>
    <t>Субвенций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</si>
  <si>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</si>
  <si>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</si>
  <si>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Иные межбюджетные трансферты                       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</si>
  <si>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</si>
  <si>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соглашениями, в том числе: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</si>
  <si>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</si>
  <si>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поселений, в том числе:</t>
  </si>
  <si>
    <r>
      <rPr>
        <b/>
        <u/>
        <sz val="10"/>
        <rFont val="Calibri"/>
        <family val="2"/>
        <charset val="204"/>
      </rPr>
      <t>Благоустройство</t>
    </r>
    <r>
      <rPr>
        <sz val="10"/>
        <rFont val="Calibri"/>
        <family val="2"/>
        <charset val="204"/>
      </rPr>
      <t xml:space="preserve"> территорий поселений</t>
    </r>
  </si>
  <si>
    <t>Уличное освещение</t>
  </si>
  <si>
    <r>
      <t xml:space="preserve">Расходы на оплату </t>
    </r>
    <r>
      <rPr>
        <b/>
        <u/>
        <sz val="10"/>
        <rFont val="Calibri"/>
        <family val="2"/>
        <charset val="204"/>
      </rPr>
      <t>коммунальных услуг</t>
    </r>
    <r>
      <rPr>
        <sz val="10"/>
        <rFont val="Calibri"/>
        <family val="2"/>
        <charset val="204"/>
      </rPr>
      <t xml:space="preserve"> и приобретение твердого топлива</t>
    </r>
  </si>
  <si>
    <t>Иные межбюджетные трансферты на организацию ритуальных услуг</t>
  </si>
  <si>
    <t>ВСЕГО доходов</t>
  </si>
  <si>
    <t>Наименование</t>
  </si>
  <si>
    <t>Глава</t>
  </si>
  <si>
    <t>Раздел</t>
  </si>
  <si>
    <t>Подраздел</t>
  </si>
  <si>
    <t>Целевая статья расходов</t>
  </si>
  <si>
    <t>Вид расходов</t>
  </si>
  <si>
    <t>Всего расходов</t>
  </si>
  <si>
    <t>Администрация муниципального образования «Поселок Амдерма» Ненецкого автономного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</si>
  <si>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</si>
  <si>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</si>
  <si>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</si>
  <si>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</si>
  <si>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</si>
  <si>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</si>
  <si>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</si>
  <si>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</si>
  <si>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</si>
  <si>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</si>
  <si>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</si>
  <si>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</si>
  <si>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Представительный орган муниципального образования</t>
  </si>
  <si>
    <t>92.0.00.00000</t>
  </si>
  <si>
    <t>Аппарат представительного органа</t>
  </si>
  <si>
    <t>92.2.00.00000</t>
  </si>
  <si>
    <t>92.2.00.91010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</si>
  <si>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</si>
  <si>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</si>
  <si>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</si>
  <si>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</si>
  <si>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31.0.00.00000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</si>
  <si>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</si>
  <si>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</si>
  <si>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31.6.00.89400</t>
  </si>
  <si>
    <t>Администрация поселения</t>
  </si>
  <si>
    <t>93.0.00.00000</t>
  </si>
  <si>
    <t>93.0.00.91010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</si>
  <si>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</si>
  <si>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</si>
  <si>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</si>
  <si>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</si>
  <si>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непрограммные расходы</t>
  </si>
  <si>
    <t>98.0.00.00000</t>
  </si>
  <si>
    <t>98.0.00.99110</t>
  </si>
  <si>
    <t>Межбюджетные трансферты</t>
  </si>
  <si>
    <t>500</t>
  </si>
  <si>
    <t xml:space="preserve">Резервные фонды                       </t>
  </si>
  <si>
    <t>11</t>
  </si>
  <si>
    <t>Резервный фонд местной администрации</t>
  </si>
  <si>
    <t>90.0.00.00000</t>
  </si>
  <si>
    <t>Резервный фонд</t>
  </si>
  <si>
    <t>90.0.00.90010</t>
  </si>
  <si>
    <t>Другие общегосударственные вопросы</t>
  </si>
  <si>
    <t>13</t>
  </si>
  <si>
    <t>Выполнение переданных государственных полномочий</t>
  </si>
  <si>
    <t>95.0.00.00000</t>
  </si>
  <si>
    <t>Субвенции местным бюджетам на осуществление отдельных государственных полномочий НАО в сфере административных правонарушений</t>
  </si>
  <si>
    <t>95.0.00.79210</t>
  </si>
  <si>
    <t>Уплата членских взносов в Ассоциацию «Совет муниципальных образований Ненецкого автономного округа»</t>
  </si>
  <si>
    <t>98.0.00.91040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</si>
  <si>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</si>
  <si>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</si>
  <si>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</si>
  <si>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95.0.00.51180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</si>
  <si>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</si>
  <si>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</si>
  <si>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</si>
  <si>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33.0.00.00000</t>
  </si>
  <si>
    <t>Обеспечение пожарной безопасности</t>
  </si>
  <si>
    <t>10</t>
  </si>
  <si>
    <t>Национальная экономика</t>
  </si>
  <si>
    <t>Дорожное хозяйство (дорожные фонды)</t>
  </si>
  <si>
    <t>32.0.00.00000</t>
  </si>
  <si>
    <t>Дорожный фонд муниципального образования</t>
  </si>
  <si>
    <t>98.0.00.93100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</si>
  <si>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</si>
  <si>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</si>
  <si>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</si>
  <si>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</si>
  <si>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</si>
  <si>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Мероприятия в области жилищного хозяйства</t>
  </si>
  <si>
    <t>98.0.00.96100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</si>
  <si>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</si>
  <si>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</si>
  <si>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</si>
  <si>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</si>
  <si>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</si>
  <si>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</si>
  <si>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</si>
  <si>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Источники финансирования дефицита местного бюджета</t>
  </si>
  <si>
    <t>КБК источников внутреннего финансирования дефицитов бюджетов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</si>
  <si>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</si>
  <si>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</si>
  <si>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</si>
  <si>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</si>
  <si>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</si>
  <si>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</si>
  <si>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</si>
  <si>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</si>
  <si>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 xml:space="preserve">Увеличение прочих остатков денежных средств бюджетов </t>
  </si>
  <si>
    <t>000 01 05 02 01 00 0000 510</t>
  </si>
  <si>
    <t>Увеличение прочих остатков денежных средств бюджетов поселений</t>
  </si>
  <si>
    <t>220 01 05 02 01 10 0000 510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</si>
  <si>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</si>
  <si>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</si>
  <si>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</si>
  <si>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</si>
  <si>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</si>
  <si>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</si>
  <si>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поселений</t>
  </si>
  <si>
    <t>220 01 05 02 01 10 0000 610</t>
  </si>
  <si>
    <t>Расчет поступления налоговых и неналоговых доходов местного бюджета</t>
  </si>
  <si>
    <t>НАЛОГОВЫЕ ДОХОДЫ</t>
  </si>
  <si>
    <t>1. Налог на доходы физических лиц</t>
  </si>
  <si>
    <t>Расчет поступления НДФЛ</t>
  </si>
  <si>
    <t>Исполнение</t>
  </si>
  <si>
    <t>Год</t>
  </si>
  <si>
    <t>Норматив поступления, %</t>
  </si>
  <si>
    <t>Налоговая база, рублей</t>
  </si>
  <si>
    <t>НДФЛ, рублей</t>
  </si>
  <si>
    <t>Фактически исполнено за год</t>
  </si>
  <si>
    <t>Ожидаемое исполнение за год</t>
  </si>
  <si>
    <t>План на год</t>
  </si>
  <si>
    <t>2. Акцизы по подакцизным товарам (продукции), производимым на территории Российской Федерации</t>
  </si>
  <si>
    <t>Проект бюджета на 2021 год, тыс. руб.</t>
  </si>
  <si>
    <t>100 1 03 02230
 01 0000 110</t>
  </si>
  <si>
    <t>100 1 03 02240
 01 0000 110</t>
  </si>
  <si>
    <t>100 1 03 02250
 01 0000 110</t>
  </si>
  <si>
    <t>100 1 03 02260
 01 0000 110</t>
  </si>
  <si>
    <t>Итого</t>
  </si>
  <si>
    <t>3. Налог, взимаемый в связи с применением упрощенной системы налогообложения</t>
  </si>
  <si>
    <t>1 05 01000 00 0000 110</t>
  </si>
  <si>
    <t>1 05 01010 01 0000 110</t>
  </si>
  <si>
    <t>4. Земельный налог</t>
  </si>
  <si>
    <t>Расчет  поступления земельного налога</t>
  </si>
  <si>
    <t>№ п/п</t>
  </si>
  <si>
    <t>Налогоплательщик</t>
  </si>
  <si>
    <t>Кадастровый номер объекта</t>
  </si>
  <si>
    <t>Центральный банк РФ Главное управление по Архангельской области</t>
  </si>
  <si>
    <t xml:space="preserve">83:00:080008:118 </t>
  </si>
  <si>
    <t>1</t>
  </si>
  <si>
    <t>ФГБУ "Северное УГМС"</t>
  </si>
  <si>
    <t>83:00:080008:91</t>
  </si>
  <si>
    <t>2</t>
  </si>
  <si>
    <t>ФКП «Аэропорт Амдерма», в том числе:</t>
  </si>
  <si>
    <t>2.1</t>
  </si>
  <si>
    <t>83:00:080008:3</t>
  </si>
  <si>
    <t>2.2</t>
  </si>
  <si>
    <t>83:00:080008:35</t>
  </si>
  <si>
    <t>2.3</t>
  </si>
  <si>
    <t>83:00:080008:41</t>
  </si>
  <si>
    <t>2.4</t>
  </si>
  <si>
    <t>83:00:080008:42</t>
  </si>
  <si>
    <t>2.5</t>
  </si>
  <si>
    <t>83:00:080008:43</t>
  </si>
  <si>
    <t>2.6</t>
  </si>
  <si>
    <t>83:00:080008:50</t>
  </si>
  <si>
    <t>2.7</t>
  </si>
  <si>
    <t>83:00:080008:53</t>
  </si>
  <si>
    <t>2.8</t>
  </si>
  <si>
    <t>83:00:080008:55</t>
  </si>
  <si>
    <t>2.9</t>
  </si>
  <si>
    <t>83:00:080008:58</t>
  </si>
  <si>
    <t>2.10</t>
  </si>
  <si>
    <t>83:00:080008:114</t>
  </si>
  <si>
    <t>3</t>
  </si>
  <si>
    <t>ГБОУ НАО "Основная школа п. Амдерма"</t>
  </si>
  <si>
    <t>Х</t>
  </si>
  <si>
    <t>5. Государственная пошлина</t>
  </si>
  <si>
    <t>Расчет поступления государственной пошлины</t>
  </si>
  <si>
    <t>Государственная пошлина, рублей</t>
  </si>
  <si>
    <t>(среднее за 3 года)</t>
  </si>
  <si>
    <t>НЕНАЛОГОВЫЕ ДОХОДЫ</t>
  </si>
  <si>
    <t>6. Доходы от сдачи в аренду имущества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</si>
  <si>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</si>
  <si>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Расчет доходов от сдачи в аренду имущества</t>
  </si>
  <si>
    <t>Наименование организации</t>
  </si>
  <si>
    <t>Поступления, руб.</t>
  </si>
  <si>
    <t>в месяц</t>
  </si>
  <si>
    <t>в квартал</t>
  </si>
  <si>
    <t>2019 год</t>
  </si>
  <si>
    <t>ОАО «Сбербанк России», Ненецкое отделение</t>
  </si>
  <si>
    <t>КУЗ НАО МФЦ</t>
  </si>
  <si>
    <t>Библиотека</t>
  </si>
  <si>
    <t>ФГУП "Почта России"</t>
  </si>
  <si>
    <t>ООО "Заполярное"</t>
  </si>
  <si>
    <t>7. Прочие поступления от использования имущества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</si>
  <si>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</si>
  <si>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Поступления от платы за найм</t>
  </si>
  <si>
    <t>Сумма, рублей</t>
  </si>
  <si>
    <t>8. Доходы от продажи материальных и нематериальных активов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</si>
  <si>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</si>
  <si>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Расчет поступления доходов от реализации книг об Амдерме</t>
  </si>
  <si>
    <t>Цена, рублей</t>
  </si>
  <si>
    <t>Количество экземпляров, штук</t>
  </si>
  <si>
    <t>Стоимость, рублей</t>
  </si>
  <si>
    <t>Итого, рублей</t>
  </si>
  <si>
    <t>Остаток книг об Амдерме</t>
  </si>
  <si>
    <t>ДЕФИЦИТ бюджета</t>
  </si>
  <si>
    <t>Сборник "Здравствуй, Амдерма"</t>
  </si>
  <si>
    <t>Сборник стихов "Нам всегда возвращаться к тебе по заснеженной памяти"</t>
  </si>
  <si>
    <t>Финансист Администрации
МО «Поселок Амдерма» НАО</t>
  </si>
  <si>
    <t>Е.Н. Рыбалка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</si>
  <si>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 на совершение нотариальных действий</t>
  </si>
  <si>
    <t>У Т В Е Р Ж Д А Ю</t>
  </si>
  <si>
    <t>Глава МО "Поселок Амдерма" НАО</t>
  </si>
  <si>
    <t>(наименование должности)</t>
  </si>
  <si>
    <t>(подпись)</t>
  </si>
  <si>
    <t>(расшифровка подписи)</t>
  </si>
  <si>
    <t>БЮДЖЕТНАЯ СМЕТА</t>
  </si>
  <si>
    <t>КОДЫ</t>
  </si>
  <si>
    <t xml:space="preserve">Главный распорядитель средств бюджета     Администрация МО "Поселок Амдерма"     </t>
  </si>
  <si>
    <t>ОКПО</t>
  </si>
  <si>
    <r>
      <t>Получатель средств бюджета</t>
    </r>
    <r>
      <rPr>
        <sz val="9"/>
        <rFont val="Calibri"/>
        <family val="2"/>
        <charset val="204"/>
      </rPr>
      <t xml:space="preserve">                           </t>
    </r>
    <r>
      <rPr>
        <u/>
        <sz val="9"/>
        <rFont val="Calibri"/>
        <family val="2"/>
        <charset val="204"/>
      </rPr>
      <t>Администрация МО "Поселок Амдерма"</t>
    </r>
  </si>
  <si>
    <t>СРРПБС</t>
  </si>
  <si>
    <t>Единица измерения : тыс. руб.</t>
  </si>
  <si>
    <t>ОКЕИ</t>
  </si>
  <si>
    <t>Наименование экономической статьи</t>
  </si>
  <si>
    <t>Код</t>
  </si>
  <si>
    <t>Вид расхода</t>
  </si>
  <si>
    <t>КОСГУ</t>
  </si>
  <si>
    <t>суб КОСГУ</t>
  </si>
  <si>
    <t>000</t>
  </si>
  <si>
    <t>Заработная плата</t>
  </si>
  <si>
    <t>Командировочные расходы - суточные</t>
  </si>
  <si>
    <t>Командировочные расходы - проезд</t>
  </si>
  <si>
    <t>Командировочные расходы - проживание</t>
  </si>
  <si>
    <t>226</t>
  </si>
  <si>
    <t>Услуги связи</t>
  </si>
  <si>
    <t>Другие расходы по коду 222</t>
  </si>
  <si>
    <t>Коммунальные услуги</t>
  </si>
  <si>
    <t>Оплата потребления теплоэнергии</t>
  </si>
  <si>
    <t>Оплата потребления электроэнергии</t>
  </si>
  <si>
    <t>Оплата водоснабжения, канализации, ассенизации и др.</t>
  </si>
  <si>
    <t>055</t>
  </si>
  <si>
    <t>770</t>
  </si>
  <si>
    <t>Подписка на газеты и журналы</t>
  </si>
  <si>
    <t>042</t>
  </si>
  <si>
    <t>Другие услуги</t>
  </si>
  <si>
    <t>046</t>
  </si>
  <si>
    <t>049</t>
  </si>
  <si>
    <t>250</t>
  </si>
  <si>
    <t>251</t>
  </si>
  <si>
    <t>260</t>
  </si>
  <si>
    <t>Пенсии государственным и муниципальным служащим</t>
  </si>
  <si>
    <t>840</t>
  </si>
  <si>
    <t>ПРОЧИЕ РАСХОДЫ</t>
  </si>
  <si>
    <t>290</t>
  </si>
  <si>
    <t>Представительские расходы</t>
  </si>
  <si>
    <t>Увеличение стоимости основных средств</t>
  </si>
  <si>
    <t>310</t>
  </si>
  <si>
    <t>Прочие основные средства</t>
  </si>
  <si>
    <t>814</t>
  </si>
  <si>
    <t>540</t>
  </si>
  <si>
    <t>Итого расходов</t>
  </si>
  <si>
    <r>
      <t xml:space="preserve">Эту строку в решении не указываем.
</t>
    </r>
    <r>
      <rPr>
        <b/>
        <sz val="10"/>
        <rFont val="Calibri"/>
        <family val="2"/>
        <charset val="204"/>
      </rPr>
      <t>Указываем только обощающие строки "0000"</t>
    </r>
  </si>
  <si>
    <t>Налоги, пошлины и сборы</t>
  </si>
  <si>
    <t>Штрафы (по налогам и сборам, страх. взносам)</t>
  </si>
  <si>
    <t>Штрафы (гос. закупки, нарушение усл. контрактов)</t>
  </si>
  <si>
    <t>Социальные пособия и компенсации персоналу в денежной форме</t>
  </si>
  <si>
    <t>СВОДНАЯ</t>
  </si>
  <si>
    <t>Расчеты к бюджетной смете</t>
  </si>
  <si>
    <t>Расчет расходов по КОСГУ 211 "Заработная плата":</t>
  </si>
  <si>
    <t>ПФР</t>
  </si>
  <si>
    <t>ФФОМС</t>
  </si>
  <si>
    <t>ФСС РФ</t>
  </si>
  <si>
    <t>Суб КОСГУ</t>
  </si>
  <si>
    <t>Примечание</t>
  </si>
  <si>
    <t>Ограничение</t>
  </si>
  <si>
    <t>Итого по КОСГУ 211:</t>
  </si>
  <si>
    <t>отсутствует</t>
  </si>
  <si>
    <t>Расчет расходов по КОСГУ 213 "Начисления на оплату труда":</t>
  </si>
  <si>
    <t>Итого по КОСГУ 213:</t>
  </si>
  <si>
    <t>Глава МО «Посёлок Амдерма» НАО</t>
  </si>
  <si>
    <t>Исполнитель: финансист</t>
  </si>
  <si>
    <t>Расчет расходов по КОСГУ 221 "Услуги связи":</t>
  </si>
  <si>
    <t xml:space="preserve">Кол-во </t>
  </si>
  <si>
    <t>Оплата на год</t>
  </si>
  <si>
    <t>Сумма (тыс.руб.)</t>
  </si>
  <si>
    <t>Абонентское обслуж. в системе электронного документооборота (Фалькон)</t>
  </si>
  <si>
    <t>Итого по КОСГУ 221:</t>
  </si>
  <si>
    <t>Расчет расходов по КОСГУ 226 "Прочие услуги":</t>
  </si>
  <si>
    <t>Средняя стоимость</t>
  </si>
  <si>
    <t>Опубликование информационного бюллетеня</t>
  </si>
  <si>
    <t>Ежемесячная денежная компенсация - возмещение расходов, связанных с депутатской деятельностью</t>
  </si>
  <si>
    <t>Итого по КОСГУ 226:</t>
  </si>
  <si>
    <t>Ед.изм.</t>
  </si>
  <si>
    <t>Кол-во</t>
  </si>
  <si>
    <t>ИПЦ</t>
  </si>
  <si>
    <t>Кол-во исполнителей</t>
  </si>
  <si>
    <t>121</t>
  </si>
  <si>
    <t>129</t>
  </si>
  <si>
    <t>244</t>
  </si>
  <si>
    <t>Кол-во сотрудников</t>
  </si>
  <si>
    <t>Количество сотрудников</t>
  </si>
  <si>
    <t>Несчастные случаи</t>
  </si>
  <si>
    <t>Сверх ограничения</t>
  </si>
  <si>
    <t>Расчет расходов по КОСГУ 212 "Прочие выплаты":</t>
  </si>
  <si>
    <t>Оплата льготного проезда</t>
  </si>
  <si>
    <t>Штанько</t>
  </si>
  <si>
    <t>Кол-во  сотрудников</t>
  </si>
  <si>
    <t>Кол-во суток пребыванияя в командировке</t>
  </si>
  <si>
    <t>Размер оплаты за 1 день</t>
  </si>
  <si>
    <t>Итого по КОСГУ 212:</t>
  </si>
  <si>
    <t>Итого по КОСГУ 214:</t>
  </si>
  <si>
    <t>Индекс- дефлятор</t>
  </si>
  <si>
    <t>ООО "РЦИТ" (услуги по обслуживанию сайта)</t>
  </si>
  <si>
    <t>Расчет расходов по КОСГУ 222 "Транспортные услуги":</t>
  </si>
  <si>
    <t>Кол-во  (кг)</t>
  </si>
  <si>
    <t>Ср.ст-ть кг или контейнера</t>
  </si>
  <si>
    <t>Трансп. расходы (авиарейсами)</t>
  </si>
  <si>
    <t>Итого по КОСГУ 222:</t>
  </si>
  <si>
    <t>Расчет расходов по КОСГУ 223 "Коммунальные услуги":</t>
  </si>
  <si>
    <t>Тариф с НДС, руб.</t>
  </si>
  <si>
    <t>Гкал</t>
  </si>
  <si>
    <t>куб.м</t>
  </si>
  <si>
    <t>Итого по КОСГУ 223:</t>
  </si>
  <si>
    <t>Расчет расходов по КОСГУ 225 "Услуги по содержанию имущества"</t>
  </si>
  <si>
    <t>Ср.стоимость, без НДС</t>
  </si>
  <si>
    <t>Итого по 225/055</t>
  </si>
  <si>
    <t>Кол-во платежей</t>
  </si>
  <si>
    <t>Снегоочистка вокруг здания администрации ГПХ</t>
  </si>
  <si>
    <t>Итого по 225/770</t>
  </si>
  <si>
    <t>Итого по КОСГУ 225:</t>
  </si>
  <si>
    <t>Расчет расходов по КОСГУ 226 "Прочие услуги"</t>
  </si>
  <si>
    <t>Ср. стоимость</t>
  </si>
  <si>
    <t>Итого по 226/042:</t>
  </si>
  <si>
    <t>Ср.стоимость</t>
  </si>
  <si>
    <t>Составление сметной документации</t>
  </si>
  <si>
    <t>ИП Филиппов Сопровождение 1С Бухгалтерия</t>
  </si>
  <si>
    <t>ООО "Эникод" (Антивирусная программа "Касперский")</t>
  </si>
  <si>
    <t>Итого по 226/046</t>
  </si>
  <si>
    <t>Стоимость курсов</t>
  </si>
  <si>
    <t>Итого по 226/049</t>
  </si>
  <si>
    <t>Праздн.открытки, почетные грамоты, благодарности</t>
  </si>
  <si>
    <t>Итого по КОСГУ 290:</t>
  </si>
  <si>
    <t>Расчет расходов по КОСГУ 310 "Увеличение стоимости основных средств":</t>
  </si>
  <si>
    <t>Итого по КОСГУ 310:</t>
  </si>
  <si>
    <t>ТМЦ</t>
  </si>
  <si>
    <t>Итого по КОСГУ 340:</t>
  </si>
  <si>
    <t>Расчет расходов по КОСГУ 214 "Прочие несоциальные выплаты персоналу в натуральной форме":</t>
  </si>
  <si>
    <t>Щипунова</t>
  </si>
  <si>
    <t>Сумма
(рублей)</t>
  </si>
  <si>
    <t>Потребление т/энергии (пустующие кв.)</t>
  </si>
  <si>
    <t>кВт</t>
  </si>
  <si>
    <t>Вневедомственная, охранная и пожарная сигнализация</t>
  </si>
  <si>
    <t>Размер оплаты</t>
  </si>
  <si>
    <t>Итого командировочные расходы по КОСГУ 226:</t>
  </si>
  <si>
    <t>Приём комиссий
(представительские расходы)</t>
  </si>
  <si>
    <t>Количество комиссий</t>
  </si>
  <si>
    <t>10 человек на 2 суток, по 300,00 руб.</t>
  </si>
  <si>
    <t>Итого по 226/845</t>
  </si>
  <si>
    <t>Расчет расходов по КОСГУ 266 "Социальные пособия и компенсации персоналу в денежной форме"</t>
  </si>
  <si>
    <t>Пособия за первые три дня временной нетрудоспособности за счет средств работодателя в случаях, когда работник заболел или получил травму</t>
  </si>
  <si>
    <t>Максимальная выплата на сотрудника</t>
  </si>
  <si>
    <t>Количество больничных</t>
  </si>
  <si>
    <t>Итого по КОСГУ 266:</t>
  </si>
  <si>
    <t>Расчет расходов по КОСГУ 290 "Прочие расходы" (обобщающий):</t>
  </si>
  <si>
    <t>Штрафы (по налогам, сборам, страховым взносам)</t>
  </si>
  <si>
    <t>122</t>
  </si>
  <si>
    <t>00.0.00.00000</t>
  </si>
  <si>
    <t>851</t>
  </si>
  <si>
    <t>Итого расходов по</t>
  </si>
  <si>
    <t>Расчет расходов по КОСГУ 251 "Перечисления другим бюджетам бюджетной системы РФ":</t>
  </si>
  <si>
    <t>Сумма платежа</t>
  </si>
  <si>
    <t>Резервный запас средств на случай возникновения непредвиденных обстоятельств</t>
  </si>
  <si>
    <t>Наименование показателя</t>
  </si>
  <si>
    <t>Наименование
показателя</t>
  </si>
  <si>
    <t>Расчет расходов по КОСГУ 296 "Иные расходы":</t>
  </si>
  <si>
    <t>870</t>
  </si>
  <si>
    <t>Итого по расчету на коммунальные услуги АУП:</t>
  </si>
  <si>
    <t>Потребление в год</t>
  </si>
  <si>
    <t>Годовое абонентское обслуживание тел.точки</t>
  </si>
  <si>
    <t>Приобретение ТМЦ, канцтоваров, бумаги, картриджей</t>
  </si>
  <si>
    <t>Средняя плата за квартал</t>
  </si>
  <si>
    <t>Итого по КОСГУ 296:</t>
  </si>
  <si>
    <t>Кол-во договоров</t>
  </si>
  <si>
    <t>Сумма договора</t>
  </si>
  <si>
    <t>Наименование    показателя (договора)</t>
  </si>
  <si>
    <t>853</t>
  </si>
  <si>
    <t>Средняя плата в месяц</t>
  </si>
  <si>
    <t>Интернет, телефонная связь</t>
  </si>
  <si>
    <t>Оплата труда внештатных работников</t>
  </si>
  <si>
    <t>Взносы</t>
  </si>
  <si>
    <t>Расчет расходов по КОСГУ 226 "Прочие работы, услуги":</t>
  </si>
  <si>
    <t>Расчет расходов по КОСГУ 225 "Услуги по содержанию имущества":</t>
  </si>
  <si>
    <t>Протяженность
дорог</t>
  </si>
  <si>
    <t>Сумма ассигнований</t>
  </si>
  <si>
    <t>18,752 км</t>
  </si>
  <si>
    <t>Ремонт и содержание автомобильных дорог общего пользования местного значения за счет средств ЗР</t>
  </si>
  <si>
    <t>Сумма отчислений</t>
  </si>
  <si>
    <r>
      <rPr>
        <b/>
        <sz val="9"/>
        <rFont val="Calibri"/>
        <family val="2"/>
        <charset val="204"/>
      </rPr>
      <t>Остаток средств</t>
    </r>
    <r>
      <rPr>
        <sz val="9"/>
        <rFont val="Calibri"/>
        <family val="2"/>
        <charset val="204"/>
      </rPr>
      <t xml:space="preserve"> дорожного фонда МО за предыдущий период</t>
    </r>
  </si>
  <si>
    <r>
      <t>Дорожный фонд МО (</t>
    </r>
    <r>
      <rPr>
        <b/>
        <sz val="9"/>
        <rFont val="Calibri"/>
        <family val="2"/>
        <charset val="204"/>
      </rPr>
      <t>отчисления от акцизов по подакцизным товарам</t>
    </r>
    <r>
      <rPr>
        <sz val="9"/>
        <rFont val="Calibri"/>
        <family val="2"/>
        <charset val="204"/>
      </rPr>
      <t>)</t>
    </r>
  </si>
  <si>
    <t>Расчет расходов по КОСГУ 225 "Работы, услуги по содержанию имущества":</t>
  </si>
  <si>
    <t>Ассигнования, выделенные ЗР, на уличное освещение</t>
  </si>
  <si>
    <t>730</t>
  </si>
  <si>
    <t>Ед. изм.</t>
  </si>
  <si>
    <t>Объём потребления</t>
  </si>
  <si>
    <t>Тариф</t>
  </si>
  <si>
    <t>Другие вопросы в области жилищно-коммунального хозяйства (ритуальные услуги)</t>
  </si>
  <si>
    <t>Кол-во месяцев</t>
  </si>
  <si>
    <t>1.1</t>
  </si>
  <si>
    <t>1.2</t>
  </si>
  <si>
    <t>%</t>
  </si>
  <si>
    <t>Ежемес.доплата</t>
  </si>
  <si>
    <t>1.3</t>
  </si>
  <si>
    <t>1.4</t>
  </si>
  <si>
    <t>1.5</t>
  </si>
  <si>
    <t>1.6</t>
  </si>
  <si>
    <t>1.7</t>
  </si>
  <si>
    <t>1.8</t>
  </si>
  <si>
    <t>Сумма на 2019 год</t>
  </si>
  <si>
    <t>Доплаты к пенсии (ассигнования от ЗР)</t>
  </si>
  <si>
    <t>Доплата Лазарева М.Д.</t>
  </si>
  <si>
    <t>Доплата Чунихин В.В.</t>
  </si>
  <si>
    <t>Доплата Петрова Н.С.</t>
  </si>
  <si>
    <t>Доплата Соболева С.М.</t>
  </si>
  <si>
    <t>Доплата Хлынова В.Н.</t>
  </si>
  <si>
    <t>Доплата Симонова Е.В.</t>
  </si>
  <si>
    <t>Доплата Жашков М.А.</t>
  </si>
  <si>
    <t>Доплата Фаезова Л.В.</t>
  </si>
  <si>
    <t>312</t>
  </si>
  <si>
    <t>обощающий 200 остальные скрыть!</t>
  </si>
  <si>
    <r>
      <t xml:space="preserve">Закупка товаров, работ и услуг для обеспечения государственных (муниципальных) нужд
</t>
    </r>
    <r>
      <rPr>
        <i/>
        <sz val="10"/>
        <color indexed="10"/>
        <rFont val="Calibri"/>
        <family val="2"/>
        <charset val="204"/>
      </rPr>
      <t>(Уличное освещение)</t>
    </r>
  </si>
  <si>
    <t>Резервные фонды</t>
  </si>
  <si>
    <t>Другие вопросы в области жилищно-коммунального хозяйства (Ритуальные услуги)</t>
  </si>
  <si>
    <t>Сумма выплат</t>
  </si>
  <si>
    <t>Отчисления</t>
  </si>
  <si>
    <t>Сотрудник</t>
  </si>
  <si>
    <t>Стоимость проезда на 1 человека</t>
  </si>
  <si>
    <t>Наименование показателя (договора)</t>
  </si>
  <si>
    <t>ФГУП «Управление ведомственной охраны Минтранса России»</t>
  </si>
  <si>
    <t>ООО «КТА. ЛЕС»</t>
  </si>
  <si>
    <t>Северный филиал ФГБУ «Авиаметтелеком» Росгидромета</t>
  </si>
  <si>
    <t>2020 год</t>
  </si>
  <si>
    <t>2021 год</t>
  </si>
  <si>
    <t>эту строку в решении не указываем</t>
  </si>
  <si>
    <t>Прочие работы, услуги</t>
  </si>
  <si>
    <t>ФСС НС</t>
  </si>
  <si>
    <t>Расчет</t>
  </si>
  <si>
    <t>З/п по проекту штатного расписания</t>
  </si>
  <si>
    <r>
      <t>З/п</t>
    </r>
    <r>
      <rPr>
        <sz val="9"/>
        <color indexed="10"/>
        <rFont val="Calibri"/>
        <family val="2"/>
        <charset val="204"/>
      </rPr>
      <t xml:space="preserve"> муниципальных служащих</t>
    </r>
    <r>
      <rPr>
        <sz val="9"/>
        <rFont val="Calibri"/>
        <family val="2"/>
        <charset val="204"/>
      </rPr>
      <t xml:space="preserve"> по проекту штатного расписания</t>
    </r>
  </si>
  <si>
    <r>
      <t xml:space="preserve">З/п </t>
    </r>
    <r>
      <rPr>
        <sz val="9"/>
        <color indexed="10"/>
        <rFont val="Calibri"/>
        <family val="2"/>
        <charset val="204"/>
      </rPr>
      <t>не муниципальных служащих</t>
    </r>
    <r>
      <rPr>
        <sz val="9"/>
        <rFont val="Calibri"/>
        <family val="2"/>
        <charset val="204"/>
      </rPr>
      <t xml:space="preserve"> по проекту штатного расписания</t>
    </r>
  </si>
  <si>
    <t>уборщик</t>
  </si>
  <si>
    <t>водитель</t>
  </si>
  <si>
    <t>сисадмин</t>
  </si>
  <si>
    <t>главбух</t>
  </si>
  <si>
    <t>финансист</t>
  </si>
  <si>
    <t>ИТОГО</t>
  </si>
  <si>
    <t>Страховые взносы ВДЛ
(30,2%, + 10,0%)</t>
  </si>
  <si>
    <t>Страховые взносы МС
(30,2%, + 10,0%)</t>
  </si>
  <si>
    <t>Страховые взносы НеМС
(30,2%, + 10,0%)</t>
  </si>
  <si>
    <t>Сумма договора(ов)</t>
  </si>
  <si>
    <t>Расчетная потребность в денежных средствах на оплату уличного освещения</t>
  </si>
  <si>
    <t>1.9</t>
  </si>
  <si>
    <t>Доплата Ипполитова Н.В.</t>
  </si>
  <si>
    <t>98.0.00.79530</t>
  </si>
  <si>
    <t>Кол-во работ</t>
  </si>
  <si>
    <t>Затраты на работы</t>
  </si>
  <si>
    <t>Проведение кадастровых работ по оформлению земельных участков</t>
  </si>
  <si>
    <t>Продление лицензии на программу "Реестр закупок"</t>
  </si>
  <si>
    <t>Продление лицензии "ГРАНД-Смета 8.1"</t>
  </si>
  <si>
    <t>Ремонтные (восстановительные) работы в здании Администрации</t>
  </si>
  <si>
    <t>000 2 02 10000 00 0000 150</t>
  </si>
  <si>
    <t>000 2 02 15001 00 0000 150</t>
  </si>
  <si>
    <t>220 2 02 15001 10 0000 150</t>
  </si>
  <si>
    <t>000 2 02 19999 00 0000 150</t>
  </si>
  <si>
    <t>220 2 02 19999 10 0000 150</t>
  </si>
  <si>
    <t>000 2 02 30024 00 0000 150</t>
  </si>
  <si>
    <t>220 2 02 30024 10 0000 150</t>
  </si>
  <si>
    <t>000 2 02 35118 00 0000 150</t>
  </si>
  <si>
    <t>220 2 02 35118 10 0000 150</t>
  </si>
  <si>
    <t>000 2 02 40014 00 0000 150</t>
  </si>
  <si>
    <t>220 2 02 40014 10 0000 150</t>
  </si>
  <si>
    <t>000 2 02 49999 00 0000 150</t>
  </si>
  <si>
    <t>220 2 02 49999 10 0000 150</t>
  </si>
  <si>
    <t>Другие вопросы в области социальной политики</t>
  </si>
  <si>
    <t>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вооружённых конфликтов</t>
  </si>
  <si>
    <t>Поступления НДФЛ за полугодие 2017</t>
  </si>
  <si>
    <t>Поступления НДФЛ за 2017</t>
  </si>
  <si>
    <t>Поступления НДФЛ за полугодие 2018</t>
  </si>
  <si>
    <t>Поступления НДФЛ за 2018</t>
  </si>
  <si>
    <t>Отношение поступлений полугодие/год (2017)</t>
  </si>
  <si>
    <t>2019-2018</t>
  </si>
  <si>
    <t>2020-2019</t>
  </si>
  <si>
    <t>2021-2020</t>
  </si>
  <si>
    <t>Процент роста фонда заработной платы по НАО</t>
  </si>
  <si>
    <t>Вариант расчета НДФЛ от МР ЗР (Хатанзейской) только к сведению</t>
  </si>
  <si>
    <t>Расчет отчислений от налога на совокупный доход</t>
  </si>
  <si>
    <t>000 2 02 29999 00 0000 150</t>
  </si>
  <si>
    <t>Прочие субсидии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</si>
  <si>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</si>
  <si>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</si>
  <si>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000 2 02 20000 00 0000 150</t>
  </si>
  <si>
    <t>220 2 02 29999 10 0000 150</t>
  </si>
  <si>
    <t>1 кв</t>
  </si>
  <si>
    <t>2 кв</t>
  </si>
  <si>
    <t>3 кв</t>
  </si>
  <si>
    <t>4 кв</t>
  </si>
  <si>
    <t>Прочие разовые договоры ГПХ (Климова)</t>
  </si>
  <si>
    <t>Безвозмездные перечисления текущего характера организациям</t>
  </si>
  <si>
    <t>Итого по КОСГУ 240:</t>
  </si>
  <si>
    <t>811</t>
  </si>
  <si>
    <t>Безвозмездные перечисления нефинансовым организациям государственного сектора на производство</t>
  </si>
  <si>
    <t>РАСХОДЫ - ТЕКУЩИЕ РАСХОДЫ</t>
  </si>
  <si>
    <t>Оплата труда, начисления на выплаты по оплате труда</t>
  </si>
  <si>
    <t>Прочие несоц. выплаты персоналу в денежной форме</t>
  </si>
  <si>
    <t>Начисления на выплаты по оплате труда</t>
  </si>
  <si>
    <t>Прочие несоциальные выплаты персоналу в натуральной форме</t>
  </si>
  <si>
    <t>Оплата работ, услуг</t>
  </si>
  <si>
    <t>Транспортные услуги</t>
  </si>
  <si>
    <t>Работы, услуги по содержанию имущества</t>
  </si>
  <si>
    <t>Другие расходы по содержанию имущества (техническое обслуживание и др.)</t>
  </si>
  <si>
    <t>Оплата текущего и капитального ремонта</t>
  </si>
  <si>
    <t>Оплата за проведение курсов, специализаций, участие в семинарах (без учета командиров. расх.)</t>
  </si>
  <si>
    <t>Безвозмездные перечисления бюджетам</t>
  </si>
  <si>
    <t>Переч. др. бюджетам бюджетной системы РФ</t>
  </si>
  <si>
    <t>Социальное обеспечение</t>
  </si>
  <si>
    <t>Пенсии, пособия, выплачиваемые работодателями, нанимателями бывшим работникам</t>
  </si>
  <si>
    <t>Иные выплаты текущего характера физ. лицам</t>
  </si>
  <si>
    <t>Поступление нефинансовых активов</t>
  </si>
  <si>
    <t>Увеличение стоимости горюче-смазочных материалов</t>
  </si>
  <si>
    <t>Увеличение стоимости прочих оборотных запасов (материалов)</t>
  </si>
  <si>
    <t>Увеличение стоимости прочих материальных запасов однократного применения</t>
  </si>
  <si>
    <t>812</t>
  </si>
  <si>
    <t>Сумма
на год</t>
  </si>
  <si>
    <t>Расчет расходов по КОСГУ 213 "Начисления на выплаты по оплате труда":</t>
  </si>
  <si>
    <t>Расчет расходов по КОСГУ 346 "Увеличение стоимости материальных запасов":</t>
  </si>
  <si>
    <t>Итого по КОСГУ 346:</t>
  </si>
  <si>
    <t>Иные выплаты текущего характера организациям</t>
  </si>
  <si>
    <t>98.0.00.93020</t>
  </si>
  <si>
    <r>
      <t xml:space="preserve">Кадастровая оценка земельного участка
</t>
    </r>
    <r>
      <rPr>
        <sz val="9"/>
        <color indexed="10"/>
        <rFont val="Calibri"/>
        <family val="2"/>
        <charset val="204"/>
      </rPr>
      <t>(98.0.00.93020)</t>
    </r>
  </si>
  <si>
    <t>98.0.00.96010</t>
  </si>
  <si>
    <r>
      <rPr>
        <sz val="9"/>
        <color indexed="10"/>
        <rFont val="Calibri"/>
        <family val="2"/>
        <charset val="204"/>
      </rPr>
      <t>Окружные МТ</t>
    </r>
    <r>
      <rPr>
        <sz val="9"/>
        <rFont val="Calibri"/>
        <family val="2"/>
        <charset val="204"/>
      </rPr>
      <t xml:space="preserve"> на установку и содержание надгробных памятников
</t>
    </r>
    <r>
      <rPr>
        <sz val="9"/>
        <color indexed="10"/>
        <rFont val="Calibri"/>
        <family val="2"/>
        <charset val="204"/>
      </rPr>
      <t>(98.0.00.79530)</t>
    </r>
  </si>
  <si>
    <t>Субсидии с целью возмещения недополученных доходов в связи с оказанием услуг по погребению</t>
  </si>
  <si>
    <t>Содержание на территории муниципального образования мест захоронения участников Великой Отечественной войны, ветеранов боевых действий, участников локальных войн и вооружённых конфликтов</t>
  </si>
  <si>
    <t>000 2 18 00000 00 0000 000</t>
  </si>
  <si>
    <t>000 2 18 00000 00 0000 150</t>
  </si>
  <si>
    <t>000 2 18 00000 10 0000 150</t>
  </si>
  <si>
    <t>220 2 18 60010 10 0000 150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</si>
  <si>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</si>
  <si>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</si>
  <si>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</si>
  <si>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</si>
  <si>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98.0.00.S9530</t>
  </si>
  <si>
    <t>000 1 11 09000 00 0000 120</t>
  </si>
  <si>
    <t>000 1 13 00000 00 0000 000</t>
  </si>
  <si>
    <t>Прочие доходы от компенсации затрат бюджетов сельских поселений</t>
  </si>
  <si>
    <t>220 1 13 02995 10 0000 130</t>
  </si>
  <si>
    <t>Прочие доходы от компенсации затрат государства</t>
  </si>
  <si>
    <t>000 1 13 02990 00 0000 130</t>
  </si>
  <si>
    <t>Доходы от оказания платных услуг и компенсации затрат государства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</si>
  <si>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</si>
  <si>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</si>
  <si>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</si>
  <si>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</si>
  <si>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>220 2 19 60010 10 0000 150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</si>
  <si>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</si>
  <si>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Итого по 226/843</t>
  </si>
  <si>
    <t>Количество грамот, открыток</t>
  </si>
  <si>
    <t>Другие расходы</t>
  </si>
  <si>
    <t>Расчет расходов по КОСГУ 200 "Расходы":</t>
  </si>
  <si>
    <r>
      <t xml:space="preserve">Установка и содержание надгробных памятников
</t>
    </r>
    <r>
      <rPr>
        <sz val="9"/>
        <color indexed="10"/>
        <rFont val="Calibri"/>
        <family val="2"/>
        <charset val="204"/>
      </rPr>
      <t>(98.0.00.S9530)</t>
    </r>
  </si>
  <si>
    <t>07</t>
  </si>
  <si>
    <t>Обеспечение проведения выборов и референдумов</t>
  </si>
  <si>
    <t>Расчет расходов по КОСГУ 297 "Иные выплаты текущего характера организациям":</t>
  </si>
  <si>
    <t>Итого по КОСГУ 297:</t>
  </si>
  <si>
    <t>880</t>
  </si>
  <si>
    <t>98.0.00.91100</t>
  </si>
  <si>
    <r>
      <t xml:space="preserve">Проведение довыборов в Совет депутатов МО "Поселок Амдерма" НАО
</t>
    </r>
    <r>
      <rPr>
        <sz val="9"/>
        <color indexed="10"/>
        <rFont val="Calibri"/>
        <family val="2"/>
        <charset val="204"/>
      </rPr>
      <t>(98.0.00.91100 880)</t>
    </r>
  </si>
  <si>
    <t>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</si>
  <si>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Проект бюджета на 2022 год, тыс. руб.</t>
  </si>
  <si>
    <t>Прогноз УФК на 2021 год (рублей)</t>
  </si>
  <si>
    <t>Прогноз УФК на 2022 год (рублей)</t>
  </si>
  <si>
    <t>Ожидаемая сумма поступлений в 2021 году
(тыс. руб.)</t>
  </si>
  <si>
    <t>Ожидаемая сумма поступлений в 2022 году
(тыс. руб.)</t>
  </si>
  <si>
    <t>Ожидаемая сумма поступлений в 2020 году
(тыс. руб.)</t>
  </si>
  <si>
    <t>Проект бюджета на 2021 год,
(тыс. руб.)</t>
  </si>
  <si>
    <t>Проект бюджета на 2022 год,
(тыс. руб.)</t>
  </si>
  <si>
    <t>2022 год</t>
  </si>
  <si>
    <t>в ценах
2019 года</t>
  </si>
  <si>
    <t>4</t>
  </si>
  <si>
    <t>5</t>
  </si>
  <si>
    <t>ГБДО НАО "Детский сад п. Амдерма"</t>
  </si>
  <si>
    <t>ГБКУК "Дом культуры"</t>
  </si>
  <si>
    <t>83:00:080008:297</t>
  </si>
  <si>
    <t>83:00:080008:113</t>
  </si>
  <si>
    <t>83:00:080008:555</t>
  </si>
  <si>
    <t>под мастерские</t>
  </si>
  <si>
    <t>склад ГСМ</t>
  </si>
  <si>
    <t>АТХ, гараж</t>
  </si>
  <si>
    <t>рулевая дорожка</t>
  </si>
  <si>
    <t>2.11</t>
  </si>
  <si>
    <t>под перрон</t>
  </si>
  <si>
    <t>83:00:080008:34</t>
  </si>
  <si>
    <t>взлетно-посадочная полоса</t>
  </si>
  <si>
    <t>Площадь земельного участка (Га)</t>
  </si>
  <si>
    <t>Ставка земельного налога (%)</t>
  </si>
  <si>
    <r>
      <t>Недостаток(-)</t>
    </r>
    <r>
      <rPr>
        <b/>
        <sz val="10"/>
        <rFont val="Calibri"/>
        <family val="2"/>
        <charset val="204"/>
      </rPr>
      <t>/</t>
    </r>
    <r>
      <rPr>
        <sz val="10"/>
        <rFont val="Calibri"/>
        <family val="2"/>
        <charset val="204"/>
      </rPr>
      <t>избыток(+) средств на 2020</t>
    </r>
  </si>
  <si>
    <t>См. штатные расписания
МС 2020</t>
  </si>
  <si>
    <t>См. штатные расписания
НеМС 2020</t>
  </si>
  <si>
    <t>Изготовление дефектных ведомостей
(по дог. ГПХ с опл. Взносов)</t>
  </si>
  <si>
    <t>Обслуживание в системе "Гарант"</t>
  </si>
  <si>
    <t>Потребление т/энергии (зд.Админ.)</t>
  </si>
  <si>
    <t>Холодное водоснабжение (зд.Админ.)</t>
  </si>
  <si>
    <t xml:space="preserve">Водоотведение (зд.Админ.) </t>
  </si>
  <si>
    <t>Расчет расходов по КОСГУ 296 "Иные выплаты текущего характера физ. лицам":</t>
  </si>
  <si>
    <r>
      <t xml:space="preserve">Муниципальная программа «Поддержка малого и среднего предпринимательства в муниципальном образовании «Поселок Амдерма» Ненецкого автономного округа на 2020-2022 годы»
</t>
    </r>
    <r>
      <rPr>
        <sz val="9"/>
        <color indexed="10"/>
        <rFont val="Calibri"/>
        <family val="2"/>
        <charset val="204"/>
      </rPr>
      <t>(40.0.00.93030)</t>
    </r>
  </si>
  <si>
    <t>Кол-во выплат</t>
  </si>
  <si>
    <t>40.0.00.93030</t>
  </si>
  <si>
    <t>330</t>
  </si>
  <si>
    <t>40.0.00.00000</t>
  </si>
  <si>
    <t>Муниципальная программа «Поддержка малого и среднего предпринимательства в муниципальном образовании «Поселок Амдерма» Ненецкого автономного округа на 2020-2022 годы»</t>
  </si>
  <si>
    <t>Мероприятия в рамках МП  «Поддержка малого и среднего предпринимательства в муниципальном образовании «Поселок Амдерма» Ненецкого автономного округа на 2020-2022 годы»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</si>
  <si>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</si>
  <si>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</si>
  <si>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100  1 03 02260 01 0000 110</t>
  </si>
  <si>
    <t>182 1 05 01010 01 0000 110</t>
  </si>
  <si>
    <t>Земельный налог с организаций, обладающих земельным участком, расположенным в границах сельских поселений</t>
  </si>
  <si>
    <t>Прочие дотации бюджетам сельских поселений</t>
  </si>
  <si>
    <t>000 2 02 30000 00 0000 150</t>
  </si>
  <si>
    <t>000 2 02 40000 00 0000 150</t>
  </si>
  <si>
    <r>
      <t xml:space="preserve">Иные межбюджетные трансферты на организацию </t>
    </r>
    <r>
      <rPr>
        <b/>
        <u/>
        <sz val="10"/>
        <rFont val="Calibri"/>
        <family val="2"/>
        <charset val="204"/>
      </rPr>
      <t>ритуальных услуг</t>
    </r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</si>
</sst>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#,##0.000"/>
    <numFmt numFmtId="167" formatCode="0.0%"/>
    <numFmt numFmtId="168" formatCode="#,##0.0000"/>
    <numFmt numFmtId="169" formatCode="0.000"/>
    <numFmt numFmtId="170" formatCode="#,##0.00_ ;\-#,##0.00\ "/>
  </numFmts>
  <fonts count="12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name val="Arial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9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color indexed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u/>
      <sz val="10"/>
      <name val="Calibri"/>
      <family val="2"/>
      <charset val="204"/>
    </font>
    <font>
      <b/>
      <sz val="10"/>
      <color indexed="10"/>
      <name val="Calibri"/>
      <family val="2"/>
      <charset val="204"/>
    </font>
    <font>
      <sz val="14"/>
      <name val="Calibri"/>
      <family val="2"/>
      <charset val="204"/>
    </font>
    <font>
      <i/>
      <sz val="1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u/>
      <sz val="10"/>
      <name val="Calibri"/>
      <family val="2"/>
      <charset val="204"/>
    </font>
    <font>
      <u/>
      <sz val="9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9"/>
      <name val="Calibri"/>
      <family val="2"/>
      <charset val="204"/>
    </font>
    <font>
      <b/>
      <sz val="9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i/>
      <sz val="10"/>
      <name val="Calibri"/>
      <family val="2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6"/>
      <name val="Calibri"/>
      <family val="2"/>
      <charset val="204"/>
    </font>
    <font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56"/>
      <name val="Calibri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10"/>
      <name val="Calibri"/>
      <family val="2"/>
      <charset val="204"/>
    </font>
    <font>
      <sz val="10"/>
      <color indexed="10"/>
      <name val="Calibri"/>
      <family val="2"/>
      <charset val="204"/>
    </font>
    <font>
      <sz val="9"/>
      <color indexed="8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indexed="56"/>
      <name val="Calibri"/>
      <family val="2"/>
      <charset val="204"/>
    </font>
    <font>
      <b/>
      <sz val="8"/>
      <name val="Calibri"/>
      <family val="2"/>
      <charset val="204"/>
    </font>
    <font>
      <b/>
      <sz val="9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8"/>
      <color indexed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indexed="10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10"/>
      <name val="Calibri"/>
      <family val="2"/>
      <charset val="204"/>
    </font>
    <font>
      <sz val="13"/>
      <name val="Calibri"/>
      <family val="2"/>
      <charset val="204"/>
    </font>
    <font>
      <i/>
      <sz val="10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i/>
      <sz val="12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10"/>
      <name val="Calibri"/>
      <family val="2"/>
      <charset val="204"/>
    </font>
    <font>
      <sz val="9"/>
      <color indexed="10"/>
      <name val="Calibri"/>
      <family val="2"/>
      <charset val="204"/>
    </font>
    <font>
      <b/>
      <sz val="9"/>
      <color indexed="10"/>
      <name val="Calibri"/>
      <family val="2"/>
      <charset val="204"/>
    </font>
    <font>
      <i/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9"/>
      <color indexed="56"/>
      <name val="Calibri"/>
      <family val="2"/>
      <charset val="204"/>
    </font>
    <font>
      <b/>
      <sz val="10"/>
      <color indexed="56"/>
      <name val="Calibri"/>
      <family val="2"/>
      <charset val="204"/>
    </font>
    <font>
      <b/>
      <sz val="18"/>
      <color indexed="10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2"/>
      <color indexed="10"/>
      <name val="Calibri"/>
      <family val="2"/>
      <charset val="204"/>
    </font>
    <font>
      <b/>
      <sz val="9"/>
      <color indexed="10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0"/>
      <color indexed="10"/>
      <name val="Calibri"/>
      <family val="2"/>
      <charset val="204"/>
    </font>
    <font>
      <b/>
      <sz val="11"/>
      <color indexed="10"/>
      <name val="Calibri"/>
      <family val="2"/>
      <charset val="204"/>
    </font>
    <font>
      <u/>
      <sz val="10"/>
      <name val="Calibri"/>
      <family val="2"/>
      <charset val="204"/>
    </font>
    <font>
      <u/>
      <sz val="9"/>
      <name val="Calibri"/>
      <family val="2"/>
      <charset val="204"/>
    </font>
    <font>
      <sz val="14"/>
      <color indexed="10"/>
      <name val="Calibri"/>
      <family val="2"/>
      <charset val="204"/>
    </font>
    <font>
      <b/>
      <sz val="9"/>
      <color indexed="56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9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Arial"/>
      <family val="2"/>
      <charset val="204"/>
    </font>
    <font>
      <b/>
      <sz val="10"/>
      <color indexed="10"/>
      <name val="Times New Roman"/>
      <family val="1"/>
      <charset val="204"/>
    </font>
    <font>
      <sz val="10"/>
      <color indexed="40"/>
      <name val="Calibri"/>
      <family val="2"/>
      <charset val="204"/>
    </font>
    <font>
      <b/>
      <sz val="10"/>
      <color indexed="40"/>
      <name val="Calibri"/>
      <family val="2"/>
      <charset val="204"/>
    </font>
    <font>
      <sz val="10"/>
      <color indexed="17"/>
      <name val="Calibri"/>
      <family val="2"/>
      <charset val="204"/>
    </font>
    <font>
      <b/>
      <sz val="10"/>
      <color indexed="17"/>
      <name val="Calibri"/>
      <family val="2"/>
      <charset val="204"/>
    </font>
    <font>
      <b/>
      <sz val="16"/>
      <color indexed="10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10"/>
      <color indexed="10"/>
      <name val="Calibri"/>
      <family val="2"/>
      <charset val="204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0" fontId="126" fillId="0" borderId="27" applyNumberFormat="0" applyFill="0" applyAlignment="0" applyProtection="0"/>
    <xf numFmtId="0" fontId="127" fillId="0" borderId="28" applyNumberFormat="0" applyFill="0" applyAlignment="0" applyProtection="0"/>
    <xf numFmtId="0" fontId="127" fillId="0" borderId="0" applyNumberFormat="0" applyFill="0" applyBorder="0" applyAlignment="0" applyProtection="0"/>
    <xf numFmtId="0" fontId="128" fillId="0" borderId="29" applyNumberFormat="0" applyFill="0" applyAlignment="0" applyProtection="0"/>
    <xf numFmtId="0" fontId="25" fillId="0" borderId="0"/>
    <xf numFmtId="0" fontId="25" fillId="0" borderId="0"/>
  </cellStyleXfs>
  <cellXfs count="1149">
    <xf numFmtId="0" fontId="0" fillId="0" borderId="0" xfId="0"/>
    <xf numFmtId="0" fontId="23" fillId="0" borderId="0" xfId="0" applyFont="1"/>
    <xf numFmtId="0" fontId="29" fillId="0" borderId="1" xfId="6" applyFont="1" applyFill="1" applyBorder="1" applyAlignment="1">
      <alignment horizontal="center" vertical="center" wrapText="1"/>
    </xf>
    <xf numFmtId="49" fontId="30" fillId="0" borderId="1" xfId="5" applyNumberFormat="1" applyFont="1" applyBorder="1"/>
    <xf numFmtId="0" fontId="30" fillId="0" borderId="1" xfId="5" applyFont="1" applyBorder="1" applyAlignment="1">
      <alignment horizontal="left" vertical="center"/>
    </xf>
    <xf numFmtId="164" fontId="30" fillId="0" borderId="1" xfId="5" applyNumberFormat="1" applyFont="1" applyBorder="1" applyAlignment="1">
      <alignment horizontal="right" vertical="center"/>
    </xf>
    <xf numFmtId="164" fontId="127" fillId="0" borderId="1" xfId="3" applyNumberFormat="1" applyBorder="1" applyAlignment="1">
      <alignment horizontal="right" vertical="center"/>
    </xf>
    <xf numFmtId="49" fontId="31" fillId="0" borderId="1" xfId="3" applyNumberFormat="1" applyFont="1" applyBorder="1" applyAlignment="1">
      <alignment horizontal="center" vertical="center" wrapText="1"/>
    </xf>
    <xf numFmtId="0" fontId="32" fillId="0" borderId="1" xfId="3" applyFont="1" applyBorder="1" applyAlignment="1">
      <alignment horizontal="left" vertical="center"/>
    </xf>
    <xf numFmtId="49" fontId="23" fillId="0" borderId="1" xfId="5" applyNumberFormat="1" applyFont="1" applyFill="1" applyBorder="1" applyAlignment="1">
      <alignment horizontal="center" vertical="center" wrapText="1"/>
    </xf>
    <xf numFmtId="165" fontId="23" fillId="0" borderId="1" xfId="5" applyNumberFormat="1" applyFont="1" applyBorder="1" applyAlignment="1">
      <alignment horizontal="left" vertical="center" wrapText="1"/>
    </xf>
    <xf numFmtId="164" fontId="23" fillId="0" borderId="1" xfId="5" applyNumberFormat="1" applyFont="1" applyFill="1" applyBorder="1" applyAlignment="1">
      <alignment horizontal="right" vertical="center"/>
    </xf>
    <xf numFmtId="0" fontId="32" fillId="0" borderId="1" xfId="3" applyFont="1" applyBorder="1" applyAlignment="1">
      <alignment horizontal="left" vertical="center" wrapText="1"/>
    </xf>
    <xf numFmtId="164" fontId="127" fillId="0" borderId="1" xfId="3" applyNumberFormat="1" applyFill="1" applyBorder="1" applyAlignment="1">
      <alignment horizontal="right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33" fillId="0" borderId="0" xfId="0" applyFont="1"/>
    <xf numFmtId="0" fontId="23" fillId="0" borderId="1" xfId="0" applyFont="1" applyFill="1" applyBorder="1" applyAlignment="1">
      <alignment horizontal="left" vertical="center" wrapText="1"/>
    </xf>
    <xf numFmtId="49" fontId="23" fillId="0" borderId="1" xfId="5" applyNumberFormat="1" applyFont="1" applyBorder="1" applyAlignment="1">
      <alignment horizontal="center" vertical="center" wrapText="1"/>
    </xf>
    <xf numFmtId="0" fontId="34" fillId="0" borderId="1" xfId="5" applyFont="1" applyBorder="1" applyAlignment="1">
      <alignment horizontal="left" vertical="center"/>
    </xf>
    <xf numFmtId="164" fontId="34" fillId="0" borderId="1" xfId="5" applyNumberFormat="1" applyFont="1" applyFill="1" applyBorder="1" applyAlignment="1">
      <alignment horizontal="right" vertical="center"/>
    </xf>
    <xf numFmtId="0" fontId="23" fillId="0" borderId="1" xfId="5" applyFont="1" applyBorder="1" applyAlignment="1">
      <alignment horizontal="left" vertical="center" wrapText="1"/>
    </xf>
    <xf numFmtId="164" fontId="23" fillId="0" borderId="1" xfId="5" applyNumberFormat="1" applyFont="1" applyBorder="1" applyAlignment="1">
      <alignment vertical="center"/>
    </xf>
    <xf numFmtId="49" fontId="34" fillId="0" borderId="1" xfId="5" applyNumberFormat="1" applyFont="1" applyBorder="1" applyAlignment="1">
      <alignment horizontal="center" vertical="center" wrapText="1"/>
    </xf>
    <xf numFmtId="0" fontId="34" fillId="0" borderId="1" xfId="5" applyFont="1" applyBorder="1" applyAlignment="1">
      <alignment horizontal="left" vertical="center" wrapText="1"/>
    </xf>
    <xf numFmtId="49" fontId="23" fillId="2" borderId="1" xfId="5" applyNumberFormat="1" applyFont="1" applyFill="1" applyBorder="1" applyAlignment="1">
      <alignment horizontal="center" vertical="center" wrapText="1"/>
    </xf>
    <xf numFmtId="164" fontId="23" fillId="0" borderId="1" xfId="5" applyNumberFormat="1" applyFont="1" applyFill="1" applyBorder="1" applyAlignment="1">
      <alignment horizontal="right" vertical="center" wrapText="1"/>
    </xf>
    <xf numFmtId="49" fontId="31" fillId="2" borderId="1" xfId="3" applyNumberFormat="1" applyFont="1" applyFill="1" applyBorder="1" applyAlignment="1">
      <alignment horizontal="center" vertical="center" wrapText="1"/>
    </xf>
    <xf numFmtId="164" fontId="127" fillId="0" borderId="1" xfId="3" applyNumberFormat="1" applyFill="1" applyBorder="1" applyAlignment="1">
      <alignment horizontal="right" vertical="center" wrapText="1"/>
    </xf>
    <xf numFmtId="0" fontId="31" fillId="0" borderId="1" xfId="3" applyFont="1" applyFill="1" applyBorder="1" applyAlignment="1">
      <alignment horizontal="center" vertical="center" wrapText="1"/>
    </xf>
    <xf numFmtId="0" fontId="127" fillId="0" borderId="1" xfId="3" applyFill="1" applyBorder="1" applyAlignment="1">
      <alignment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vertical="center" wrapText="1"/>
    </xf>
    <xf numFmtId="164" fontId="34" fillId="2" borderId="1" xfId="5" applyNumberFormat="1" applyFont="1" applyFill="1" applyBorder="1" applyAlignment="1">
      <alignment horizontal="right" vertical="center"/>
    </xf>
    <xf numFmtId="164" fontId="23" fillId="2" borderId="1" xfId="5" applyNumberFormat="1" applyFont="1" applyFill="1" applyBorder="1" applyAlignment="1">
      <alignment horizontal="right" vertical="center"/>
    </xf>
    <xf numFmtId="0" fontId="23" fillId="0" borderId="1" xfId="5" applyFont="1" applyBorder="1" applyAlignment="1">
      <alignment horizontal="left" vertical="center" wrapText="1" indent="1"/>
    </xf>
    <xf numFmtId="0" fontId="32" fillId="0" borderId="1" xfId="3" applyFont="1" applyFill="1" applyBorder="1" applyAlignment="1">
      <alignment horizontal="left" vertical="center" wrapText="1"/>
    </xf>
    <xf numFmtId="0" fontId="23" fillId="0" borderId="0" xfId="0" applyFont="1" applyFill="1"/>
    <xf numFmtId="49" fontId="31" fillId="0" borderId="1" xfId="2" applyNumberFormat="1" applyFont="1" applyFill="1" applyBorder="1" applyAlignment="1">
      <alignment horizontal="center" vertical="center" wrapText="1"/>
    </xf>
    <xf numFmtId="164" fontId="127" fillId="2" borderId="1" xfId="3" applyNumberFormat="1" applyFill="1" applyBorder="1" applyAlignment="1">
      <alignment horizontal="right" vertical="center" wrapText="1"/>
    </xf>
    <xf numFmtId="164" fontId="23" fillId="2" borderId="1" xfId="5" applyNumberFormat="1" applyFont="1" applyFill="1" applyBorder="1" applyAlignment="1">
      <alignment horizontal="right" vertical="center" wrapText="1"/>
    </xf>
    <xf numFmtId="0" fontId="23" fillId="0" borderId="1" xfId="5" applyFont="1" applyFill="1" applyBorder="1" applyAlignment="1">
      <alignment horizontal="left" vertical="center" wrapText="1" indent="1"/>
    </xf>
    <xf numFmtId="0" fontId="23" fillId="0" borderId="1" xfId="5" applyFont="1" applyFill="1" applyBorder="1" applyAlignment="1">
      <alignment horizontal="left" vertical="center" wrapText="1" indent="2"/>
    </xf>
    <xf numFmtId="0" fontId="23" fillId="0" borderId="1" xfId="5" applyFont="1" applyFill="1" applyBorder="1" applyAlignment="1">
      <alignment horizontal="left" vertical="center" wrapText="1"/>
    </xf>
    <xf numFmtId="49" fontId="23" fillId="0" borderId="0" xfId="5" applyNumberFormat="1" applyFont="1" applyFill="1" applyAlignment="1">
      <alignment vertical="center" wrapText="1"/>
    </xf>
    <xf numFmtId="0" fontId="37" fillId="0" borderId="1" xfId="5" applyFont="1" applyFill="1" applyBorder="1" applyAlignment="1">
      <alignment horizontal="left" vertical="center" wrapText="1" indent="2"/>
    </xf>
    <xf numFmtId="0" fontId="23" fillId="2" borderId="1" xfId="5" applyFont="1" applyFill="1" applyBorder="1" applyAlignment="1">
      <alignment horizontal="left" vertical="center" wrapText="1" indent="1"/>
    </xf>
    <xf numFmtId="49" fontId="23" fillId="2" borderId="3" xfId="5" applyNumberFormat="1" applyFont="1" applyFill="1" applyBorder="1"/>
    <xf numFmtId="0" fontId="34" fillId="2" borderId="2" xfId="5" applyFont="1" applyFill="1" applyBorder="1" applyAlignment="1">
      <alignment horizontal="left" vertical="center" wrapText="1"/>
    </xf>
    <xf numFmtId="0" fontId="23" fillId="0" borderId="0" xfId="0" applyFont="1" applyFill="1" applyAlignment="1"/>
    <xf numFmtId="4" fontId="23" fillId="0" borderId="0" xfId="0" applyNumberFormat="1" applyFont="1" applyFill="1"/>
    <xf numFmtId="4" fontId="38" fillId="0" borderId="0" xfId="0" applyNumberFormat="1" applyFont="1" applyFill="1"/>
    <xf numFmtId="49" fontId="23" fillId="0" borderId="0" xfId="0" applyNumberFormat="1" applyFont="1"/>
    <xf numFmtId="0" fontId="23" fillId="0" borderId="0" xfId="5" applyFont="1"/>
    <xf numFmtId="0" fontId="23" fillId="0" borderId="0" xfId="5" applyFont="1" applyFill="1"/>
    <xf numFmtId="49" fontId="23" fillId="0" borderId="0" xfId="5" applyNumberFormat="1" applyFont="1" applyAlignment="1"/>
    <xf numFmtId="0" fontId="23" fillId="0" borderId="0" xfId="5" applyFont="1" applyAlignment="1">
      <alignment horizontal="center"/>
    </xf>
    <xf numFmtId="164" fontId="23" fillId="0" borderId="0" xfId="5" applyNumberFormat="1" applyFont="1"/>
    <xf numFmtId="0" fontId="29" fillId="0" borderId="1" xfId="6" applyFont="1" applyBorder="1" applyAlignment="1">
      <alignment horizontal="center" vertical="center" wrapText="1"/>
    </xf>
    <xf numFmtId="0" fontId="23" fillId="0" borderId="1" xfId="5" applyFont="1" applyFill="1" applyBorder="1" applyAlignment="1">
      <alignment horizontal="center" vertical="center"/>
    </xf>
    <xf numFmtId="0" fontId="23" fillId="0" borderId="1" xfId="5" applyFont="1" applyFill="1" applyBorder="1" applyAlignment="1">
      <alignment horizontal="center" vertical="center" wrapText="1"/>
    </xf>
    <xf numFmtId="1" fontId="23" fillId="0" borderId="0" xfId="5" applyNumberFormat="1" applyFont="1"/>
    <xf numFmtId="165" fontId="39" fillId="0" borderId="0" xfId="0" applyNumberFormat="1" applyFont="1"/>
    <xf numFmtId="0" fontId="34" fillId="0" borderId="1" xfId="5" applyFont="1" applyFill="1" applyBorder="1" applyAlignment="1">
      <alignment horizontal="left" vertical="center" wrapText="1"/>
    </xf>
    <xf numFmtId="0" fontId="34" fillId="0" borderId="1" xfId="5" applyFont="1" applyFill="1" applyBorder="1" applyAlignment="1">
      <alignment horizontal="center" vertical="center"/>
    </xf>
    <xf numFmtId="0" fontId="34" fillId="0" borderId="1" xfId="5" applyFont="1" applyFill="1" applyBorder="1"/>
    <xf numFmtId="0" fontId="33" fillId="0" borderId="0" xfId="5" applyFont="1" applyFill="1" applyAlignment="1">
      <alignment vertical="center" wrapText="1"/>
    </xf>
    <xf numFmtId="0" fontId="32" fillId="2" borderId="1" xfId="3" applyFont="1" applyFill="1" applyBorder="1" applyAlignment="1">
      <alignment horizontal="left" vertical="center" wrapText="1"/>
    </xf>
    <xf numFmtId="0" fontId="32" fillId="0" borderId="1" xfId="3" applyFont="1" applyFill="1" applyBorder="1" applyAlignment="1">
      <alignment horizontal="center" vertical="center"/>
    </xf>
    <xf numFmtId="49" fontId="32" fillId="0" borderId="1" xfId="3" applyNumberFormat="1" applyFont="1" applyFill="1" applyBorder="1" applyAlignment="1">
      <alignment horizontal="center" vertical="center"/>
    </xf>
    <xf numFmtId="164" fontId="32" fillId="0" borderId="1" xfId="3" applyNumberFormat="1" applyFont="1" applyFill="1" applyBorder="1" applyAlignment="1">
      <alignment horizontal="right" vertical="center"/>
    </xf>
    <xf numFmtId="0" fontId="34" fillId="0" borderId="1" xfId="5" applyFont="1" applyFill="1" applyBorder="1" applyAlignment="1">
      <alignment horizontal="center" vertical="center" wrapText="1"/>
    </xf>
    <xf numFmtId="49" fontId="34" fillId="0" borderId="1" xfId="5" applyNumberFormat="1" applyFont="1" applyFill="1" applyBorder="1" applyAlignment="1">
      <alignment horizontal="center" vertical="center"/>
    </xf>
    <xf numFmtId="165" fontId="23" fillId="0" borderId="0" xfId="5" applyNumberFormat="1" applyFont="1"/>
    <xf numFmtId="49" fontId="23" fillId="0" borderId="1" xfId="5" applyNumberFormat="1" applyFont="1" applyFill="1" applyBorder="1" applyAlignment="1">
      <alignment horizontal="center" vertical="center"/>
    </xf>
    <xf numFmtId="2" fontId="23" fillId="0" borderId="0" xfId="5" applyNumberFormat="1" applyFont="1"/>
    <xf numFmtId="49" fontId="23" fillId="0" borderId="0" xfId="5" applyNumberFormat="1" applyFont="1" applyFill="1"/>
    <xf numFmtId="49" fontId="33" fillId="0" borderId="1" xfId="5" applyNumberFormat="1" applyFont="1" applyFill="1" applyBorder="1" applyAlignment="1">
      <alignment horizontal="center" vertical="center"/>
    </xf>
    <xf numFmtId="0" fontId="32" fillId="0" borderId="1" xfId="3" applyFont="1" applyFill="1" applyBorder="1" applyAlignment="1">
      <alignment horizontal="center" vertical="center" wrapText="1"/>
    </xf>
    <xf numFmtId="0" fontId="33" fillId="0" borderId="0" xfId="5" applyFont="1" applyFill="1" applyAlignment="1"/>
    <xf numFmtId="0" fontId="34" fillId="0" borderId="1" xfId="0" applyFont="1" applyFill="1" applyBorder="1" applyAlignment="1">
      <alignment horizontal="left" vertical="center" wrapText="1"/>
    </xf>
    <xf numFmtId="49" fontId="32" fillId="0" borderId="1" xfId="3" applyNumberFormat="1" applyFont="1" applyFill="1" applyBorder="1" applyAlignment="1">
      <alignment horizontal="center" vertical="center" wrapText="1"/>
    </xf>
    <xf numFmtId="164" fontId="32" fillId="0" borderId="1" xfId="3" applyNumberFormat="1" applyFont="1" applyFill="1" applyBorder="1" applyAlignment="1">
      <alignment horizontal="right" vertical="center" wrapText="1"/>
    </xf>
    <xf numFmtId="49" fontId="23" fillId="0" borderId="0" xfId="5" applyNumberFormat="1" applyFont="1" applyAlignment="1">
      <alignment vertical="center" wrapText="1"/>
    </xf>
    <xf numFmtId="4" fontId="23" fillId="0" borderId="0" xfId="5" applyNumberFormat="1" applyFont="1"/>
    <xf numFmtId="49" fontId="34" fillId="0" borderId="1" xfId="5" applyNumberFormat="1" applyFont="1" applyFill="1" applyBorder="1" applyAlignment="1">
      <alignment horizontal="center" vertical="center" wrapText="1"/>
    </xf>
    <xf numFmtId="49" fontId="38" fillId="0" borderId="1" xfId="5" applyNumberFormat="1" applyFont="1" applyFill="1" applyBorder="1" applyAlignment="1">
      <alignment horizontal="center" vertical="center" wrapText="1"/>
    </xf>
    <xf numFmtId="164" fontId="34" fillId="0" borderId="1" xfId="5" applyNumberFormat="1" applyFont="1" applyFill="1" applyBorder="1" applyAlignment="1">
      <alignment horizontal="right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0" fontId="23" fillId="0" borderId="0" xfId="5" applyFont="1" applyAlignment="1">
      <alignment vertical="center" wrapText="1"/>
    </xf>
    <xf numFmtId="0" fontId="23" fillId="0" borderId="0" xfId="5" applyFont="1" applyAlignment="1">
      <alignment horizontal="center" vertical="center" wrapText="1"/>
    </xf>
    <xf numFmtId="49" fontId="23" fillId="0" borderId="0" xfId="5" applyNumberFormat="1" applyFont="1" applyAlignment="1">
      <alignment horizontal="center" vertical="center" wrapText="1"/>
    </xf>
    <xf numFmtId="4" fontId="38" fillId="0" borderId="0" xfId="0" applyNumberFormat="1" applyFont="1" applyFill="1" applyAlignment="1">
      <alignment horizontal="left" vertical="center" indent="1"/>
    </xf>
    <xf numFmtId="49" fontId="34" fillId="0" borderId="0" xfId="5" applyNumberFormat="1" applyFont="1" applyAlignment="1">
      <alignment horizontal="center" vertical="center" wrapText="1"/>
    </xf>
    <xf numFmtId="49" fontId="34" fillId="0" borderId="0" xfId="5" applyNumberFormat="1" applyFont="1" applyAlignment="1">
      <alignment horizontal="left" vertical="center" wrapText="1" indent="1"/>
    </xf>
    <xf numFmtId="49" fontId="23" fillId="0" borderId="0" xfId="5" applyNumberFormat="1" applyFont="1" applyAlignment="1">
      <alignment horizontal="center"/>
    </xf>
    <xf numFmtId="49" fontId="23" fillId="0" borderId="0" xfId="5" applyNumberFormat="1" applyFont="1"/>
    <xf numFmtId="0" fontId="42" fillId="0" borderId="0" xfId="0" applyFont="1" applyAlignment="1">
      <alignment horizontal="right"/>
    </xf>
    <xf numFmtId="0" fontId="34" fillId="0" borderId="1" xfId="0" applyFont="1" applyBorder="1" applyAlignment="1">
      <alignment horizontal="left" vertical="center" wrapText="1"/>
    </xf>
    <xf numFmtId="49" fontId="34" fillId="0" borderId="1" xfId="5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164" fontId="33" fillId="0" borderId="1" xfId="0" applyNumberFormat="1" applyFon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23" fillId="0" borderId="1" xfId="5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164" fontId="23" fillId="0" borderId="0" xfId="0" applyNumberFormat="1" applyFont="1"/>
    <xf numFmtId="165" fontId="23" fillId="0" borderId="0" xfId="0" applyNumberFormat="1" applyFont="1"/>
    <xf numFmtId="164" fontId="23" fillId="0" borderId="1" xfId="0" applyNumberFormat="1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49" fontId="23" fillId="0" borderId="1" xfId="5" applyNumberFormat="1" applyFont="1" applyBorder="1" applyAlignment="1">
      <alignment horizontal="center" vertical="center"/>
    </xf>
    <xf numFmtId="0" fontId="23" fillId="0" borderId="0" xfId="0" applyFont="1" applyBorder="1"/>
    <xf numFmtId="4" fontId="23" fillId="0" borderId="0" xfId="0" applyNumberFormat="1" applyFont="1" applyBorder="1"/>
    <xf numFmtId="164" fontId="23" fillId="0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wrapText="1"/>
    </xf>
    <xf numFmtId="49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horizontal="left" wrapText="1"/>
    </xf>
    <xf numFmtId="0" fontId="23" fillId="0" borderId="0" xfId="0" applyFont="1" applyBorder="1" applyAlignment="1">
      <alignment vertical="center" wrapText="1"/>
    </xf>
    <xf numFmtId="0" fontId="34" fillId="0" borderId="0" xfId="0" applyFont="1" applyFill="1" applyBorder="1"/>
    <xf numFmtId="0" fontId="23" fillId="0" borderId="0" xfId="0" applyFont="1" applyFill="1" applyBorder="1"/>
    <xf numFmtId="0" fontId="44" fillId="0" borderId="0" xfId="0" applyFont="1" applyFill="1" applyBorder="1" applyAlignment="1">
      <alignment wrapText="1"/>
    </xf>
    <xf numFmtId="0" fontId="23" fillId="0" borderId="0" xfId="0" applyFont="1" applyFill="1" applyBorder="1" applyAlignment="1"/>
    <xf numFmtId="0" fontId="23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wrapText="1"/>
    </xf>
    <xf numFmtId="0" fontId="23" fillId="0" borderId="0" xfId="0" applyFont="1" applyBorder="1" applyAlignment="1">
      <alignment horizontal="center"/>
    </xf>
    <xf numFmtId="49" fontId="36" fillId="0" borderId="1" xfId="0" applyNumberFormat="1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49" fontId="49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right" vertical="center"/>
    </xf>
    <xf numFmtId="0" fontId="52" fillId="0" borderId="0" xfId="4" applyFont="1" applyBorder="1" applyAlignment="1">
      <alignment horizontal="left" vertical="center" wrapText="1"/>
    </xf>
    <xf numFmtId="49" fontId="49" fillId="0" borderId="0" xfId="4" applyNumberFormat="1" applyFont="1" applyBorder="1" applyAlignment="1">
      <alignment horizontal="center" vertical="center"/>
    </xf>
    <xf numFmtId="164" fontId="50" fillId="0" borderId="0" xfId="0" applyNumberFormat="1" applyFont="1" applyBorder="1" applyAlignment="1">
      <alignment horizontal="right" vertical="center"/>
    </xf>
    <xf numFmtId="0" fontId="33" fillId="0" borderId="0" xfId="0" applyFont="1" applyAlignment="1">
      <alignment vertical="center" wrapText="1"/>
    </xf>
    <xf numFmtId="0" fontId="29" fillId="0" borderId="0" xfId="0" applyFont="1" applyFill="1" applyBorder="1" applyAlignment="1">
      <alignment wrapText="1"/>
    </xf>
    <xf numFmtId="0" fontId="48" fillId="0" borderId="1" xfId="0" applyFont="1" applyFill="1" applyBorder="1" applyAlignment="1">
      <alignment horizontal="center" vertical="center" textRotation="90" wrapText="1"/>
    </xf>
    <xf numFmtId="0" fontId="48" fillId="0" borderId="1" xfId="0" applyFont="1" applyFill="1" applyBorder="1" applyAlignment="1">
      <alignment horizontal="center" vertical="center" wrapText="1"/>
    </xf>
    <xf numFmtId="164" fontId="50" fillId="0" borderId="1" xfId="0" applyNumberFormat="1" applyFont="1" applyFill="1" applyBorder="1" applyAlignment="1">
      <alignment horizontal="right" vertical="center"/>
    </xf>
    <xf numFmtId="49" fontId="51" fillId="0" borderId="1" xfId="3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Border="1"/>
    <xf numFmtId="164" fontId="22" fillId="0" borderId="0" xfId="0" applyNumberFormat="1" applyFont="1" applyBorder="1"/>
    <xf numFmtId="4" fontId="22" fillId="0" borderId="0" xfId="0" applyNumberFormat="1" applyFont="1" applyBorder="1"/>
    <xf numFmtId="10" fontId="22" fillId="0" borderId="0" xfId="0" applyNumberFormat="1" applyFont="1" applyBorder="1"/>
    <xf numFmtId="164" fontId="22" fillId="0" borderId="0" xfId="0" applyNumberFormat="1" applyFont="1"/>
    <xf numFmtId="0" fontId="22" fillId="0" borderId="0" xfId="0" applyFont="1" applyFill="1" applyBorder="1"/>
    <xf numFmtId="0" fontId="22" fillId="0" borderId="0" xfId="0" applyFont="1" applyAlignment="1">
      <alignment vertical="top"/>
    </xf>
    <xf numFmtId="166" fontId="22" fillId="0" borderId="0" xfId="0" applyNumberFormat="1" applyFont="1"/>
    <xf numFmtId="0" fontId="53" fillId="0" borderId="0" xfId="0" applyFont="1" applyAlignment="1">
      <alignment horizontal="left"/>
    </xf>
    <xf numFmtId="0" fontId="53" fillId="0" borderId="0" xfId="0" applyFont="1" applyAlignment="1"/>
    <xf numFmtId="0" fontId="54" fillId="0" borderId="0" xfId="0" applyFont="1" applyAlignment="1"/>
    <xf numFmtId="0" fontId="55" fillId="0" borderId="0" xfId="0" applyFont="1" applyAlignment="1"/>
    <xf numFmtId="0" fontId="56" fillId="0" borderId="0" xfId="0" applyFont="1" applyFill="1" applyAlignment="1"/>
    <xf numFmtId="0" fontId="55" fillId="0" borderId="0" xfId="0" applyFont="1" applyAlignment="1">
      <alignment horizontal="center"/>
    </xf>
    <xf numFmtId="0" fontId="57" fillId="0" borderId="1" xfId="0" applyFont="1" applyBorder="1" applyAlignment="1">
      <alignment horizontal="center" vertical="center"/>
    </xf>
    <xf numFmtId="0" fontId="57" fillId="0" borderId="1" xfId="5" applyFont="1" applyBorder="1" applyAlignment="1">
      <alignment horizontal="center" vertical="center"/>
    </xf>
    <xf numFmtId="0" fontId="57" fillId="0" borderId="1" xfId="5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/>
    </xf>
    <xf numFmtId="0" fontId="58" fillId="0" borderId="1" xfId="0" applyFont="1" applyBorder="1" applyAlignment="1">
      <alignment horizontal="center"/>
    </xf>
    <xf numFmtId="0" fontId="58" fillId="0" borderId="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/>
    </xf>
    <xf numFmtId="0" fontId="57" fillId="0" borderId="0" xfId="0" applyFont="1" applyAlignment="1"/>
    <xf numFmtId="0" fontId="59" fillId="0" borderId="0" xfId="0" applyFont="1" applyAlignment="1">
      <alignment vertical="top"/>
    </xf>
    <xf numFmtId="0" fontId="55" fillId="0" borderId="1" xfId="0" applyFont="1" applyBorder="1" applyAlignment="1">
      <alignment horizontal="center" vertical="center"/>
    </xf>
    <xf numFmtId="0" fontId="61" fillId="0" borderId="1" xfId="0" applyFont="1" applyBorder="1" applyAlignment="1">
      <alignment horizontal="center"/>
    </xf>
    <xf numFmtId="0" fontId="61" fillId="0" borderId="1" xfId="0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center"/>
    </xf>
    <xf numFmtId="49" fontId="62" fillId="0" borderId="1" xfId="3" applyNumberFormat="1" applyFont="1" applyFill="1" applyBorder="1" applyAlignment="1">
      <alignment horizontal="center" vertical="center"/>
    </xf>
    <xf numFmtId="0" fontId="55" fillId="0" borderId="0" xfId="0" applyFont="1" applyFill="1" applyAlignment="1"/>
    <xf numFmtId="0" fontId="55" fillId="0" borderId="0" xfId="0" applyFont="1"/>
    <xf numFmtId="0" fontId="5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5" fontId="55" fillId="0" borderId="1" xfId="0" applyNumberFormat="1" applyFont="1" applyFill="1" applyBorder="1" applyAlignment="1">
      <alignment horizontal="right" vertical="center"/>
    </xf>
    <xf numFmtId="165" fontId="22" fillId="0" borderId="0" xfId="0" applyNumberFormat="1" applyFont="1" applyBorder="1"/>
    <xf numFmtId="0" fontId="55" fillId="0" borderId="1" xfId="0" applyFont="1" applyBorder="1" applyAlignment="1">
      <alignment horizontal="center" vertical="center" wrapText="1"/>
    </xf>
    <xf numFmtId="0" fontId="55" fillId="0" borderId="0" xfId="0" applyFont="1" applyBorder="1"/>
    <xf numFmtId="49" fontId="55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vertical="center" wrapText="1"/>
    </xf>
    <xf numFmtId="0" fontId="57" fillId="0" borderId="4" xfId="0" applyFont="1" applyBorder="1" applyAlignment="1">
      <alignment horizontal="center" vertical="center" wrapText="1"/>
    </xf>
    <xf numFmtId="0" fontId="58" fillId="0" borderId="4" xfId="0" applyFont="1" applyBorder="1" applyAlignment="1">
      <alignment horizontal="center"/>
    </xf>
    <xf numFmtId="0" fontId="56" fillId="0" borderId="0" xfId="0" applyFont="1" applyFill="1" applyBorder="1" applyAlignment="1"/>
    <xf numFmtId="49" fontId="55" fillId="0" borderId="1" xfId="0" applyNumberFormat="1" applyFont="1" applyBorder="1" applyAlignment="1">
      <alignment horizontal="center" vertical="center" wrapText="1"/>
    </xf>
    <xf numFmtId="0" fontId="55" fillId="0" borderId="1" xfId="0" applyFont="1" applyBorder="1" applyAlignment="1">
      <alignment horizontal="left" vertical="center" wrapText="1"/>
    </xf>
    <xf numFmtId="0" fontId="57" fillId="0" borderId="5" xfId="0" applyFont="1" applyBorder="1" applyAlignment="1">
      <alignment horizontal="center" vertical="center" wrapText="1"/>
    </xf>
    <xf numFmtId="0" fontId="64" fillId="0" borderId="0" xfId="0" applyFont="1" applyAlignment="1">
      <alignment horizontal="center"/>
    </xf>
    <xf numFmtId="0" fontId="64" fillId="0" borderId="0" xfId="0" applyFont="1" applyAlignment="1">
      <alignment horizontal="center" vertical="center"/>
    </xf>
    <xf numFmtId="0" fontId="63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7" xfId="0" applyFont="1" applyBorder="1"/>
    <xf numFmtId="0" fontId="21" fillId="0" borderId="8" xfId="0" applyFont="1" applyBorder="1"/>
    <xf numFmtId="164" fontId="21" fillId="3" borderId="1" xfId="0" applyNumberFormat="1" applyFont="1" applyFill="1" applyBorder="1"/>
    <xf numFmtId="0" fontId="55" fillId="0" borderId="9" xfId="0" applyFont="1" applyBorder="1" applyAlignment="1">
      <alignment horizontal="left" vertical="center"/>
    </xf>
    <xf numFmtId="164" fontId="21" fillId="0" borderId="0" xfId="0" applyNumberFormat="1" applyFont="1" applyBorder="1"/>
    <xf numFmtId="4" fontId="21" fillId="0" borderId="0" xfId="0" applyNumberFormat="1" applyFont="1"/>
    <xf numFmtId="0" fontId="55" fillId="0" borderId="9" xfId="0" applyFont="1" applyBorder="1"/>
    <xf numFmtId="0" fontId="57" fillId="0" borderId="1" xfId="0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center" vertical="center"/>
    </xf>
    <xf numFmtId="164" fontId="21" fillId="0" borderId="0" xfId="0" applyNumberFormat="1" applyFont="1"/>
    <xf numFmtId="0" fontId="21" fillId="0" borderId="0" xfId="0" applyFont="1" applyFill="1" applyBorder="1" applyAlignment="1">
      <alignment horizontal="center"/>
    </xf>
    <xf numFmtId="0" fontId="58" fillId="0" borderId="1" xfId="0" applyFont="1" applyBorder="1" applyAlignment="1">
      <alignment horizontal="left" vertical="center" wrapText="1"/>
    </xf>
    <xf numFmtId="164" fontId="57" fillId="0" borderId="1" xfId="0" applyNumberFormat="1" applyFont="1" applyFill="1" applyBorder="1" applyAlignment="1">
      <alignment vertical="center"/>
    </xf>
    <xf numFmtId="0" fontId="21" fillId="0" borderId="0" xfId="0" applyFont="1" applyFill="1"/>
    <xf numFmtId="0" fontId="58" fillId="0" borderId="1" xfId="0" applyFont="1" applyFill="1" applyBorder="1" applyAlignment="1">
      <alignment horizontal="center" vertical="center"/>
    </xf>
    <xf numFmtId="0" fontId="58" fillId="0" borderId="1" xfId="0" applyNumberFormat="1" applyFont="1" applyFill="1" applyBorder="1" applyAlignment="1">
      <alignment horizontal="center" vertical="center"/>
    </xf>
    <xf numFmtId="165" fontId="57" fillId="0" borderId="1" xfId="0" applyNumberFormat="1" applyFont="1" applyFill="1" applyBorder="1" applyAlignment="1">
      <alignment vertical="center"/>
    </xf>
    <xf numFmtId="0" fontId="58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/>
    <xf numFmtId="165" fontId="70" fillId="0" borderId="0" xfId="0" applyNumberFormat="1" applyFont="1"/>
    <xf numFmtId="165" fontId="21" fillId="0" borderId="0" xfId="0" applyNumberFormat="1" applyFont="1"/>
    <xf numFmtId="2" fontId="21" fillId="0" borderId="0" xfId="0" applyNumberFormat="1" applyFont="1"/>
    <xf numFmtId="0" fontId="71" fillId="0" borderId="0" xfId="0" applyFont="1" applyAlignment="1">
      <alignment horizontal="center"/>
    </xf>
    <xf numFmtId="3" fontId="57" fillId="0" borderId="1" xfId="0" applyNumberFormat="1" applyFont="1" applyBorder="1" applyAlignment="1">
      <alignment horizontal="center" vertical="center"/>
    </xf>
    <xf numFmtId="4" fontId="71" fillId="0" borderId="0" xfId="0" applyNumberFormat="1" applyFont="1"/>
    <xf numFmtId="165" fontId="21" fillId="0" borderId="0" xfId="0" applyNumberFormat="1" applyFont="1" applyFill="1"/>
    <xf numFmtId="4" fontId="57" fillId="0" borderId="1" xfId="0" applyNumberFormat="1" applyFont="1" applyBorder="1" applyAlignment="1">
      <alignment horizontal="right" vertical="center" wrapText="1"/>
    </xf>
    <xf numFmtId="49" fontId="57" fillId="0" borderId="1" xfId="0" applyNumberFormat="1" applyFont="1" applyBorder="1" applyAlignment="1">
      <alignment horizontal="center" vertical="center"/>
    </xf>
    <xf numFmtId="1" fontId="58" fillId="0" borderId="1" xfId="0" applyNumberFormat="1" applyFont="1" applyFill="1" applyBorder="1" applyAlignment="1">
      <alignment horizontal="center" vertical="center"/>
    </xf>
    <xf numFmtId="1" fontId="58" fillId="0" borderId="1" xfId="0" applyNumberFormat="1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0" fontId="70" fillId="0" borderId="0" xfId="0" applyFont="1" applyFill="1" applyAlignment="1">
      <alignment horizontal="center" vertical="center" wrapText="1"/>
    </xf>
    <xf numFmtId="165" fontId="57" fillId="0" borderId="1" xfId="0" applyNumberFormat="1" applyFont="1" applyFill="1" applyBorder="1" applyAlignment="1">
      <alignment horizontal="center" vertical="center" wrapText="1"/>
    </xf>
    <xf numFmtId="4" fontId="55" fillId="0" borderId="0" xfId="0" applyNumberFormat="1" applyFont="1"/>
    <xf numFmtId="0" fontId="21" fillId="0" borderId="0" xfId="0" applyFont="1" applyAlignment="1"/>
    <xf numFmtId="165" fontId="57" fillId="0" borderId="0" xfId="0" applyNumberFormat="1" applyFont="1" applyFill="1" applyBorder="1"/>
    <xf numFmtId="0" fontId="54" fillId="0" borderId="0" xfId="0" applyFont="1" applyBorder="1" applyAlignment="1">
      <alignment vertical="center"/>
    </xf>
    <xf numFmtId="0" fontId="57" fillId="0" borderId="1" xfId="0" applyFont="1" applyFill="1" applyBorder="1" applyAlignment="1">
      <alignment vertical="center" wrapText="1"/>
    </xf>
    <xf numFmtId="0" fontId="57" fillId="0" borderId="1" xfId="0" applyFont="1" applyBorder="1" applyAlignment="1">
      <alignment vertical="center" wrapText="1"/>
    </xf>
    <xf numFmtId="1" fontId="58" fillId="0" borderId="1" xfId="0" applyNumberFormat="1" applyFont="1" applyBorder="1" applyAlignment="1">
      <alignment horizontal="center" vertical="center"/>
    </xf>
    <xf numFmtId="164" fontId="57" fillId="0" borderId="1" xfId="0" applyNumberFormat="1" applyFont="1" applyFill="1" applyBorder="1" applyAlignment="1">
      <alignment horizontal="right" vertical="center" indent="1"/>
    </xf>
    <xf numFmtId="164" fontId="74" fillId="4" borderId="1" xfId="0" applyNumberFormat="1" applyFont="1" applyFill="1" applyBorder="1" applyAlignment="1">
      <alignment horizontal="right" vertical="center" indent="1"/>
    </xf>
    <xf numFmtId="0" fontId="74" fillId="0" borderId="1" xfId="0" applyFont="1" applyFill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57" fillId="0" borderId="0" xfId="0" applyFont="1" applyAlignment="1">
      <alignment horizontal="center"/>
    </xf>
    <xf numFmtId="0" fontId="57" fillId="0" borderId="0" xfId="0" applyFont="1"/>
    <xf numFmtId="4" fontId="57" fillId="0" borderId="0" xfId="0" applyNumberFormat="1" applyFont="1"/>
    <xf numFmtId="0" fontId="74" fillId="0" borderId="1" xfId="0" applyFont="1" applyBorder="1" applyAlignment="1">
      <alignment horizontal="center" vertical="center" wrapText="1"/>
    </xf>
    <xf numFmtId="4" fontId="74" fillId="0" borderId="1" xfId="0" applyNumberFormat="1" applyFont="1" applyBorder="1" applyAlignment="1">
      <alignment horizontal="right" vertical="center" indent="1"/>
    </xf>
    <xf numFmtId="164" fontId="57" fillId="0" borderId="1" xfId="0" applyNumberFormat="1" applyFont="1" applyBorder="1" applyAlignment="1">
      <alignment horizontal="right" vertical="center" indent="1"/>
    </xf>
    <xf numFmtId="164" fontId="73" fillId="4" borderId="1" xfId="0" applyNumberFormat="1" applyFont="1" applyFill="1" applyBorder="1" applyAlignment="1">
      <alignment horizontal="right" vertical="center" indent="1"/>
    </xf>
    <xf numFmtId="0" fontId="58" fillId="0" borderId="5" xfId="0" applyFont="1" applyBorder="1" applyAlignment="1">
      <alignment horizontal="center" vertical="center"/>
    </xf>
    <xf numFmtId="0" fontId="74" fillId="0" borderId="1" xfId="0" applyFont="1" applyBorder="1" applyAlignment="1">
      <alignment horizontal="center" vertical="center"/>
    </xf>
    <xf numFmtId="4" fontId="74" fillId="0" borderId="1" xfId="0" applyNumberFormat="1" applyFont="1" applyBorder="1" applyAlignment="1">
      <alignment horizontal="right"/>
    </xf>
    <xf numFmtId="4" fontId="21" fillId="0" borderId="1" xfId="0" applyNumberFormat="1" applyFont="1" applyBorder="1" applyAlignment="1">
      <alignment horizontal="right"/>
    </xf>
    <xf numFmtId="165" fontId="55" fillId="0" borderId="0" xfId="0" applyNumberFormat="1" applyFont="1" applyFill="1" applyBorder="1" applyAlignment="1">
      <alignment vertical="center" wrapText="1"/>
    </xf>
    <xf numFmtId="4" fontId="74" fillId="5" borderId="1" xfId="0" applyNumberFormat="1" applyFont="1" applyFill="1" applyBorder="1" applyAlignment="1">
      <alignment horizontal="right"/>
    </xf>
    <xf numFmtId="4" fontId="75" fillId="0" borderId="1" xfId="0" applyNumberFormat="1" applyFont="1" applyFill="1" applyBorder="1" applyAlignment="1">
      <alignment horizontal="right" vertical="center"/>
    </xf>
    <xf numFmtId="4" fontId="74" fillId="0" borderId="1" xfId="0" applyNumberFormat="1" applyFont="1" applyBorder="1" applyAlignment="1">
      <alignment horizontal="right" vertical="center"/>
    </xf>
    <xf numFmtId="165" fontId="74" fillId="0" borderId="1" xfId="0" applyNumberFormat="1" applyFont="1" applyFill="1" applyBorder="1" applyAlignment="1">
      <alignment vertical="center"/>
    </xf>
    <xf numFmtId="4" fontId="74" fillId="0" borderId="1" xfId="0" applyNumberFormat="1" applyFont="1" applyBorder="1" applyAlignment="1">
      <alignment vertical="center"/>
    </xf>
    <xf numFmtId="0" fontId="61" fillId="0" borderId="1" xfId="0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 vertical="center" wrapText="1"/>
    </xf>
    <xf numFmtId="4" fontId="57" fillId="0" borderId="1" xfId="0" applyNumberFormat="1" applyFont="1" applyBorder="1" applyAlignment="1">
      <alignment horizontal="right" vertical="center"/>
    </xf>
    <xf numFmtId="0" fontId="72" fillId="0" borderId="1" xfId="0" applyFont="1" applyBorder="1" applyAlignment="1">
      <alignment horizontal="center" vertical="center"/>
    </xf>
    <xf numFmtId="4" fontId="73" fillId="0" borderId="1" xfId="0" applyNumberFormat="1" applyFont="1" applyFill="1" applyBorder="1" applyAlignment="1">
      <alignment vertical="center"/>
    </xf>
    <xf numFmtId="164" fontId="57" fillId="4" borderId="1" xfId="0" applyNumberFormat="1" applyFont="1" applyFill="1" applyBorder="1" applyAlignment="1">
      <alignment horizontal="right" vertical="center"/>
    </xf>
    <xf numFmtId="165" fontId="75" fillId="6" borderId="1" xfId="0" applyNumberFormat="1" applyFont="1" applyFill="1" applyBorder="1"/>
    <xf numFmtId="165" fontId="75" fillId="6" borderId="1" xfId="0" applyNumberFormat="1" applyFont="1" applyFill="1" applyBorder="1" applyAlignment="1">
      <alignment vertical="center"/>
    </xf>
    <xf numFmtId="4" fontId="57" fillId="0" borderId="1" xfId="0" applyNumberFormat="1" applyFont="1" applyFill="1" applyBorder="1" applyAlignment="1">
      <alignment horizontal="right" vertical="center"/>
    </xf>
    <xf numFmtId="49" fontId="50" fillId="0" borderId="1" xfId="3" applyNumberFormat="1" applyFont="1" applyFill="1" applyBorder="1" applyAlignment="1">
      <alignment horizontal="center" vertical="center"/>
    </xf>
    <xf numFmtId="0" fontId="20" fillId="0" borderId="0" xfId="0" applyFont="1"/>
    <xf numFmtId="0" fontId="77" fillId="0" borderId="0" xfId="0" applyFont="1"/>
    <xf numFmtId="164" fontId="57" fillId="0" borderId="1" xfId="0" applyNumberFormat="1" applyFont="1" applyFill="1" applyBorder="1" applyAlignment="1">
      <alignment horizontal="right" vertical="center"/>
    </xf>
    <xf numFmtId="165" fontId="74" fillId="0" borderId="1" xfId="0" applyNumberFormat="1" applyFont="1" applyBorder="1" applyAlignment="1">
      <alignment horizontal="right" vertical="center"/>
    </xf>
    <xf numFmtId="164" fontId="75" fillId="6" borderId="1" xfId="0" applyNumberFormat="1" applyFont="1" applyFill="1" applyBorder="1" applyAlignment="1">
      <alignment vertical="center"/>
    </xf>
    <xf numFmtId="4" fontId="57" fillId="0" borderId="5" xfId="0" applyNumberFormat="1" applyFont="1" applyBorder="1" applyAlignment="1">
      <alignment vertical="center" wrapText="1"/>
    </xf>
    <xf numFmtId="0" fontId="57" fillId="0" borderId="6" xfId="0" applyFont="1" applyBorder="1" applyAlignment="1">
      <alignment horizontal="center" vertical="center" wrapText="1"/>
    </xf>
    <xf numFmtId="0" fontId="58" fillId="0" borderId="6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0" xfId="0" applyFont="1" applyAlignment="1">
      <alignment vertical="center"/>
    </xf>
    <xf numFmtId="0" fontId="20" fillId="0" borderId="0" xfId="0" applyFont="1" applyBorder="1"/>
    <xf numFmtId="0" fontId="20" fillId="0" borderId="1" xfId="0" applyFont="1" applyFill="1" applyBorder="1"/>
    <xf numFmtId="4" fontId="74" fillId="0" borderId="4" xfId="0" applyNumberFormat="1" applyFont="1" applyBorder="1" applyAlignment="1">
      <alignment horizontal="right" vertical="center"/>
    </xf>
    <xf numFmtId="165" fontId="75" fillId="6" borderId="1" xfId="0" applyNumberFormat="1" applyFont="1" applyFill="1" applyBorder="1" applyAlignment="1">
      <alignment horizontal="right"/>
    </xf>
    <xf numFmtId="165" fontId="74" fillId="0" borderId="1" xfId="0" applyNumberFormat="1" applyFont="1" applyFill="1" applyBorder="1" applyAlignment="1">
      <alignment horizontal="right" vertical="center"/>
    </xf>
    <xf numFmtId="164" fontId="75" fillId="0" borderId="1" xfId="0" applyNumberFormat="1" applyFont="1" applyFill="1" applyBorder="1" applyAlignment="1">
      <alignment horizontal="right" vertical="center" indent="1"/>
    </xf>
    <xf numFmtId="164" fontId="75" fillId="6" borderId="1" xfId="0" applyNumberFormat="1" applyFont="1" applyFill="1" applyBorder="1" applyAlignment="1">
      <alignment horizontal="right" vertical="center" indent="1"/>
    </xf>
    <xf numFmtId="4" fontId="75" fillId="0" borderId="1" xfId="0" applyNumberFormat="1" applyFont="1" applyFill="1" applyBorder="1" applyAlignment="1">
      <alignment vertical="center"/>
    </xf>
    <xf numFmtId="4" fontId="20" fillId="0" borderId="0" xfId="0" applyNumberFormat="1" applyFont="1"/>
    <xf numFmtId="0" fontId="76" fillId="0" borderId="0" xfId="0" applyFont="1" applyAlignment="1">
      <alignment horizontal="right"/>
    </xf>
    <xf numFmtId="4" fontId="76" fillId="0" borderId="0" xfId="0" applyNumberFormat="1" applyFont="1"/>
    <xf numFmtId="49" fontId="57" fillId="0" borderId="5" xfId="0" applyNumberFormat="1" applyFont="1" applyBorder="1" applyAlignment="1">
      <alignment horizontal="center" vertical="center"/>
    </xf>
    <xf numFmtId="164" fontId="74" fillId="0" borderId="1" xfId="0" applyNumberFormat="1" applyFont="1" applyBorder="1" applyAlignment="1">
      <alignment horizontal="right" vertical="center"/>
    </xf>
    <xf numFmtId="164" fontId="75" fillId="6" borderId="1" xfId="0" applyNumberFormat="1" applyFont="1" applyFill="1" applyBorder="1" applyAlignment="1">
      <alignment horizontal="right"/>
    </xf>
    <xf numFmtId="0" fontId="63" fillId="0" borderId="0" xfId="6" applyFont="1" applyAlignment="1">
      <alignment horizontal="center" vertical="center" wrapText="1"/>
    </xf>
    <xf numFmtId="0" fontId="54" fillId="0" borderId="0" xfId="0" applyFont="1" applyBorder="1" applyAlignment="1">
      <alignment horizontal="left" vertical="center"/>
    </xf>
    <xf numFmtId="0" fontId="55" fillId="0" borderId="1" xfId="6" applyFont="1" applyFill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 wrapText="1"/>
    </xf>
    <xf numFmtId="4" fontId="55" fillId="0" borderId="1" xfId="5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57" fillId="0" borderId="0" xfId="0" applyNumberFormat="1" applyFont="1" applyBorder="1" applyAlignment="1">
      <alignment horizontal="center" vertical="center" wrapText="1"/>
    </xf>
    <xf numFmtId="0" fontId="55" fillId="0" borderId="0" xfId="0" applyFont="1" applyBorder="1" applyAlignment="1">
      <alignment horizontal="left" vertical="center"/>
    </xf>
    <xf numFmtId="4" fontId="55" fillId="0" borderId="0" xfId="0" applyNumberFormat="1" applyFont="1" applyFill="1" applyBorder="1" applyAlignment="1">
      <alignment horizontal="right" vertical="center"/>
    </xf>
    <xf numFmtId="4" fontId="20" fillId="0" borderId="0" xfId="0" applyNumberFormat="1" applyFont="1" applyFill="1" applyBorder="1" applyAlignment="1">
      <alignment horizontal="right" vertical="center"/>
    </xf>
    <xf numFmtId="164" fontId="20" fillId="0" borderId="0" xfId="0" applyNumberFormat="1" applyFont="1" applyFill="1" applyBorder="1" applyAlignment="1">
      <alignment horizontal="right" vertical="center"/>
    </xf>
    <xf numFmtId="49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49" fontId="55" fillId="0" borderId="0" xfId="0" applyNumberFormat="1" applyFont="1" applyBorder="1" applyAlignment="1">
      <alignment horizontal="center" vertical="center" wrapText="1"/>
    </xf>
    <xf numFmtId="0" fontId="79" fillId="0" borderId="1" xfId="0" applyFont="1" applyBorder="1" applyAlignment="1">
      <alignment horizontal="center" vertical="center"/>
    </xf>
    <xf numFmtId="0" fontId="79" fillId="0" borderId="1" xfId="0" applyFont="1" applyBorder="1" applyAlignment="1">
      <alignment horizontal="center" vertical="center" wrapText="1"/>
    </xf>
    <xf numFmtId="0" fontId="79" fillId="0" borderId="1" xfId="5" applyFont="1" applyBorder="1" applyAlignment="1">
      <alignment horizontal="center" vertical="center" wrapText="1"/>
    </xf>
    <xf numFmtId="2" fontId="55" fillId="0" borderId="1" xfId="0" applyNumberFormat="1" applyFont="1" applyBorder="1" applyAlignment="1">
      <alignment horizontal="right" vertical="center" indent="1"/>
    </xf>
    <xf numFmtId="4" fontId="55" fillId="0" borderId="1" xfId="0" applyNumberFormat="1" applyFont="1" applyBorder="1" applyAlignment="1">
      <alignment horizontal="right" vertical="center"/>
    </xf>
    <xf numFmtId="0" fontId="55" fillId="0" borderId="0" xfId="0" applyNumberFormat="1" applyFont="1" applyAlignment="1">
      <alignment horizontal="right" vertical="center"/>
    </xf>
    <xf numFmtId="164" fontId="55" fillId="0" borderId="0" xfId="0" applyNumberFormat="1" applyFont="1" applyAlignment="1">
      <alignment horizontal="right" vertical="center"/>
    </xf>
    <xf numFmtId="0" fontId="55" fillId="0" borderId="1" xfId="5" applyFont="1" applyBorder="1" applyAlignment="1">
      <alignment horizontal="left" vertical="center" wrapText="1" indent="1"/>
    </xf>
    <xf numFmtId="0" fontId="55" fillId="0" borderId="0" xfId="0" applyNumberFormat="1" applyFont="1" applyBorder="1" applyAlignment="1">
      <alignment horizontal="right" vertical="center"/>
    </xf>
    <xf numFmtId="164" fontId="20" fillId="0" borderId="0" xfId="0" applyNumberFormat="1" applyFont="1" applyBorder="1" applyAlignment="1">
      <alignment horizontal="right" vertical="center"/>
    </xf>
    <xf numFmtId="0" fontId="79" fillId="0" borderId="1" xfId="0" applyFont="1" applyBorder="1" applyAlignment="1">
      <alignment horizontal="left" vertical="center" wrapText="1" indent="1"/>
    </xf>
    <xf numFmtId="0" fontId="55" fillId="0" borderId="0" xfId="0" applyNumberFormat="1" applyFont="1" applyFill="1" applyBorder="1" applyAlignment="1">
      <alignment horizontal="right" vertical="center"/>
    </xf>
    <xf numFmtId="4" fontId="54" fillId="0" borderId="10" xfId="0" applyNumberFormat="1" applyFont="1" applyBorder="1" applyAlignment="1">
      <alignment vertical="center"/>
    </xf>
    <xf numFmtId="164" fontId="80" fillId="0" borderId="0" xfId="0" applyNumberFormat="1" applyFont="1" applyAlignment="1">
      <alignment wrapText="1"/>
    </xf>
    <xf numFmtId="0" fontId="79" fillId="0" borderId="0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/>
    </xf>
    <xf numFmtId="49" fontId="55" fillId="0" borderId="0" xfId="0" applyNumberFormat="1" applyFont="1" applyBorder="1" applyAlignment="1">
      <alignment horizontal="right" vertical="center" wrapText="1"/>
    </xf>
    <xf numFmtId="164" fontId="57" fillId="0" borderId="0" xfId="0" applyNumberFormat="1" applyFont="1" applyAlignment="1">
      <alignment wrapText="1"/>
    </xf>
    <xf numFmtId="49" fontId="55" fillId="0" borderId="0" xfId="0" applyNumberFormat="1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left" vertical="center" wrapText="1"/>
    </xf>
    <xf numFmtId="164" fontId="55" fillId="0" borderId="0" xfId="0" applyNumberFormat="1" applyFont="1" applyFill="1" applyBorder="1" applyAlignment="1">
      <alignment horizontal="right" vertical="center" wrapText="1"/>
    </xf>
    <xf numFmtId="0" fontId="55" fillId="0" borderId="1" xfId="6" applyFont="1" applyBorder="1" applyAlignment="1">
      <alignment horizontal="center" vertical="center" wrapText="1"/>
    </xf>
    <xf numFmtId="49" fontId="57" fillId="0" borderId="11" xfId="0" applyNumberFormat="1" applyFont="1" applyFill="1" applyBorder="1" applyAlignment="1">
      <alignment horizontal="center" vertical="center" wrapText="1"/>
    </xf>
    <xf numFmtId="164" fontId="55" fillId="0" borderId="1" xfId="5" applyNumberFormat="1" applyFont="1" applyFill="1" applyBorder="1" applyAlignment="1">
      <alignment horizontal="right" vertical="center"/>
    </xf>
    <xf numFmtId="164" fontId="55" fillId="0" borderId="1" xfId="6" applyNumberFormat="1" applyFont="1" applyBorder="1" applyAlignment="1">
      <alignment horizontal="right" vertical="center" wrapText="1"/>
    </xf>
    <xf numFmtId="164" fontId="54" fillId="0" borderId="1" xfId="5" applyNumberFormat="1" applyFont="1" applyFill="1" applyBorder="1" applyAlignment="1">
      <alignment horizontal="right" vertical="center" wrapText="1"/>
    </xf>
    <xf numFmtId="164" fontId="54" fillId="6" borderId="1" xfId="5" applyNumberFormat="1" applyFont="1" applyFill="1" applyBorder="1" applyAlignment="1">
      <alignment horizontal="right" vertical="center" wrapText="1"/>
    </xf>
    <xf numFmtId="164" fontId="55" fillId="0" borderId="1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  <xf numFmtId="164" fontId="55" fillId="0" borderId="1" xfId="0" applyNumberFormat="1" applyFont="1" applyFill="1" applyBorder="1" applyAlignment="1">
      <alignment horizontal="right" vertical="center" wrapText="1" indent="1"/>
    </xf>
    <xf numFmtId="3" fontId="20" fillId="0" borderId="1" xfId="0" applyNumberFormat="1" applyFont="1" applyFill="1" applyBorder="1" applyAlignment="1">
      <alignment horizontal="right" vertical="center" indent="1"/>
    </xf>
    <xf numFmtId="164" fontId="20" fillId="0" borderId="1" xfId="0" applyNumberFormat="1" applyFont="1" applyFill="1" applyBorder="1" applyAlignment="1">
      <alignment horizontal="right" vertical="center" indent="1"/>
    </xf>
    <xf numFmtId="49" fontId="68" fillId="0" borderId="1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/>
    <xf numFmtId="0" fontId="55" fillId="0" borderId="4" xfId="0" applyFont="1" applyBorder="1" applyAlignment="1">
      <alignment horizontal="center" vertical="center" wrapText="1"/>
    </xf>
    <xf numFmtId="4" fontId="55" fillId="0" borderId="1" xfId="6" applyNumberFormat="1" applyFont="1" applyBorder="1" applyAlignment="1">
      <alignment horizontal="right" vertical="center" wrapText="1"/>
    </xf>
    <xf numFmtId="164" fontId="55" fillId="4" borderId="1" xfId="6" applyNumberFormat="1" applyFont="1" applyFill="1" applyBorder="1" applyAlignment="1">
      <alignment horizontal="right" vertical="center" wrapText="1"/>
    </xf>
    <xf numFmtId="164" fontId="55" fillId="0" borderId="0" xfId="0" applyNumberFormat="1" applyFont="1" applyFill="1" applyBorder="1" applyAlignment="1">
      <alignment horizontal="right" vertical="center"/>
    </xf>
    <xf numFmtId="0" fontId="55" fillId="0" borderId="1" xfId="0" applyFont="1" applyFill="1" applyBorder="1" applyAlignment="1">
      <alignment horizontal="center" vertical="center" wrapText="1"/>
    </xf>
    <xf numFmtId="0" fontId="68" fillId="0" borderId="1" xfId="0" applyFont="1" applyFill="1" applyBorder="1" applyAlignment="1">
      <alignment horizontal="left" vertical="center" wrapText="1"/>
    </xf>
    <xf numFmtId="0" fontId="78" fillId="0" borderId="1" xfId="0" applyFont="1" applyFill="1" applyBorder="1" applyAlignment="1">
      <alignment horizontal="center" vertical="center"/>
    </xf>
    <xf numFmtId="4" fontId="68" fillId="0" borderId="1" xfId="0" applyNumberFormat="1" applyFont="1" applyFill="1" applyBorder="1" applyAlignment="1">
      <alignment horizontal="right" vertical="center"/>
    </xf>
    <xf numFmtId="164" fontId="68" fillId="0" borderId="1" xfId="0" applyNumberFormat="1" applyFont="1" applyFill="1" applyBorder="1" applyAlignment="1">
      <alignment horizontal="right" vertical="center"/>
    </xf>
    <xf numFmtId="0" fontId="55" fillId="0" borderId="1" xfId="0" applyFont="1" applyFill="1" applyBorder="1" applyAlignment="1">
      <alignment horizontal="left" vertical="center" wrapText="1"/>
    </xf>
    <xf numFmtId="0" fontId="58" fillId="0" borderId="1" xfId="0" applyFont="1" applyFill="1" applyBorder="1" applyAlignment="1">
      <alignment horizontal="left" vertical="center" indent="1"/>
    </xf>
    <xf numFmtId="0" fontId="81" fillId="0" borderId="1" xfId="0" applyFont="1" applyFill="1" applyBorder="1" applyAlignment="1">
      <alignment horizontal="left" vertical="center" wrapText="1" indent="1"/>
    </xf>
    <xf numFmtId="0" fontId="58" fillId="0" borderId="1" xfId="0" applyFont="1" applyFill="1" applyBorder="1" applyAlignment="1">
      <alignment horizontal="left" vertical="center" wrapText="1" indent="1"/>
    </xf>
    <xf numFmtId="4" fontId="79" fillId="0" borderId="1" xfId="0" applyNumberFormat="1" applyFont="1" applyFill="1" applyBorder="1" applyAlignment="1">
      <alignment horizontal="left" vertical="center" wrapText="1"/>
    </xf>
    <xf numFmtId="164" fontId="54" fillId="0" borderId="1" xfId="0" applyNumberFormat="1" applyFont="1" applyFill="1" applyBorder="1" applyAlignment="1">
      <alignment horizontal="center" vertical="center"/>
    </xf>
    <xf numFmtId="4" fontId="69" fillId="0" borderId="0" xfId="0" applyNumberFormat="1" applyFont="1" applyBorder="1" applyAlignment="1">
      <alignment horizontal="right" wrapText="1"/>
    </xf>
    <xf numFmtId="4" fontId="79" fillId="0" borderId="1" xfId="0" applyNumberFormat="1" applyFont="1" applyBorder="1" applyAlignment="1">
      <alignment vertical="center"/>
    </xf>
    <xf numFmtId="4" fontId="79" fillId="0" borderId="0" xfId="0" applyNumberFormat="1" applyFont="1" applyBorder="1" applyAlignment="1">
      <alignment horizontal="right" vertical="center"/>
    </xf>
    <xf numFmtId="4" fontId="55" fillId="0" borderId="1" xfId="0" applyNumberFormat="1" applyFont="1" applyBorder="1" applyAlignment="1">
      <alignment vertical="center"/>
    </xf>
    <xf numFmtId="4" fontId="54" fillId="0" borderId="0" xfId="0" applyNumberFormat="1" applyFont="1" applyBorder="1" applyAlignment="1">
      <alignment horizontal="right" vertical="center"/>
    </xf>
    <xf numFmtId="0" fontId="20" fillId="0" borderId="0" xfId="0" applyFont="1" applyFill="1" applyBorder="1"/>
    <xf numFmtId="4" fontId="20" fillId="0" borderId="0" xfId="0" applyNumberFormat="1" applyFont="1" applyBorder="1"/>
    <xf numFmtId="49" fontId="55" fillId="0" borderId="2" xfId="0" applyNumberFormat="1" applyFont="1" applyBorder="1" applyAlignment="1">
      <alignment horizontal="center" vertical="center" wrapText="1"/>
    </xf>
    <xf numFmtId="0" fontId="69" fillId="0" borderId="0" xfId="0" applyFont="1" applyBorder="1" applyAlignment="1">
      <alignment horizontal="left" vertical="center" wrapText="1"/>
    </xf>
    <xf numFmtId="0" fontId="82" fillId="0" borderId="0" xfId="0" applyFont="1" applyBorder="1" applyAlignment="1">
      <alignment horizontal="center" vertical="center"/>
    </xf>
    <xf numFmtId="49" fontId="76" fillId="0" borderId="0" xfId="0" applyNumberFormat="1" applyFont="1" applyBorder="1" applyAlignment="1">
      <alignment horizontal="center" vertical="center"/>
    </xf>
    <xf numFmtId="49" fontId="55" fillId="2" borderId="1" xfId="0" applyNumberFormat="1" applyFont="1" applyFill="1" applyBorder="1" applyAlignment="1">
      <alignment horizontal="center" vertical="center" wrapText="1"/>
    </xf>
    <xf numFmtId="165" fontId="55" fillId="0" borderId="1" xfId="0" applyNumberFormat="1" applyFont="1" applyBorder="1" applyAlignment="1">
      <alignment horizontal="left" vertical="center" wrapText="1"/>
    </xf>
    <xf numFmtId="4" fontId="55" fillId="0" borderId="1" xfId="5" applyNumberFormat="1" applyFont="1" applyFill="1" applyBorder="1" applyAlignment="1">
      <alignment horizontal="right" vertical="center" wrapText="1"/>
    </xf>
    <xf numFmtId="4" fontId="55" fillId="0" borderId="1" xfId="0" applyNumberFormat="1" applyFont="1" applyFill="1" applyBorder="1" applyAlignment="1">
      <alignment horizontal="right" vertical="center" wrapText="1"/>
    </xf>
    <xf numFmtId="165" fontId="55" fillId="0" borderId="0" xfId="0" applyNumberFormat="1" applyFont="1" applyBorder="1" applyAlignment="1">
      <alignment horizontal="left" vertical="center" wrapText="1"/>
    </xf>
    <xf numFmtId="0" fontId="20" fillId="0" borderId="0" xfId="0" applyFont="1" applyFill="1"/>
    <xf numFmtId="0" fontId="79" fillId="0" borderId="1" xfId="0" applyFont="1" applyBorder="1" applyAlignment="1">
      <alignment wrapText="1"/>
    </xf>
    <xf numFmtId="0" fontId="55" fillId="2" borderId="1" xfId="0" applyFont="1" applyFill="1" applyBorder="1" applyAlignment="1">
      <alignment vertical="center" wrapText="1"/>
    </xf>
    <xf numFmtId="0" fontId="79" fillId="0" borderId="1" xfId="0" applyFont="1" applyBorder="1"/>
    <xf numFmtId="0" fontId="79" fillId="0" borderId="1" xfId="0" applyFont="1" applyFill="1" applyBorder="1" applyAlignment="1">
      <alignment wrapText="1"/>
    </xf>
    <xf numFmtId="0" fontId="79" fillId="0" borderId="1" xfId="0" applyFont="1" applyBorder="1" applyAlignment="1">
      <alignment vertical="center"/>
    </xf>
    <xf numFmtId="4" fontId="83" fillId="0" borderId="1" xfId="0" applyNumberFormat="1" applyFont="1" applyBorder="1" applyAlignment="1">
      <alignment horizontal="right" vertical="center"/>
    </xf>
    <xf numFmtId="0" fontId="79" fillId="0" borderId="0" xfId="0" applyFont="1" applyBorder="1"/>
    <xf numFmtId="0" fontId="79" fillId="0" borderId="0" xfId="0" applyFont="1" applyBorder="1" applyAlignment="1">
      <alignment vertical="center"/>
    </xf>
    <xf numFmtId="4" fontId="83" fillId="0" borderId="0" xfId="0" applyNumberFormat="1" applyFont="1" applyBorder="1" applyAlignment="1">
      <alignment horizontal="right" vertical="center"/>
    </xf>
    <xf numFmtId="4" fontId="55" fillId="0" borderId="12" xfId="0" applyNumberFormat="1" applyFont="1" applyFill="1" applyBorder="1" applyAlignment="1" applyProtection="1">
      <alignment horizontal="right" vertical="center" wrapText="1"/>
      <protection locked="0"/>
    </xf>
    <xf numFmtId="164" fontId="55" fillId="0" borderId="0" xfId="5" applyNumberFormat="1" applyFont="1" applyFill="1" applyBorder="1" applyAlignment="1">
      <alignment horizontal="right" vertical="center" wrapText="1"/>
    </xf>
    <xf numFmtId="4" fontId="55" fillId="0" borderId="0" xfId="5" applyNumberFormat="1" applyFont="1" applyFill="1" applyBorder="1" applyAlignment="1">
      <alignment horizontal="right" vertical="center" wrapText="1"/>
    </xf>
    <xf numFmtId="164" fontId="55" fillId="0" borderId="0" xfId="6" applyNumberFormat="1" applyFont="1" applyBorder="1" applyAlignment="1">
      <alignment horizontal="right" vertical="center" wrapText="1"/>
    </xf>
    <xf numFmtId="4" fontId="84" fillId="0" borderId="0" xfId="0" applyNumberFormat="1" applyFont="1" applyBorder="1" applyAlignment="1">
      <alignment horizontal="left" vertical="top"/>
    </xf>
    <xf numFmtId="164" fontId="20" fillId="0" borderId="0" xfId="0" applyNumberFormat="1" applyFont="1" applyFill="1" applyBorder="1" applyAlignment="1">
      <alignment horizontal="right" vertical="center" wrapText="1"/>
    </xf>
    <xf numFmtId="0" fontId="55" fillId="0" borderId="0" xfId="0" applyFont="1" applyAlignment="1">
      <alignment wrapText="1"/>
    </xf>
    <xf numFmtId="4" fontId="20" fillId="0" borderId="1" xfId="0" applyNumberFormat="1" applyFont="1" applyBorder="1" applyAlignment="1">
      <alignment vertical="center"/>
    </xf>
    <xf numFmtId="3" fontId="79" fillId="0" borderId="1" xfId="0" applyNumberFormat="1" applyFont="1" applyBorder="1" applyAlignment="1">
      <alignment horizontal="right" vertical="center"/>
    </xf>
    <xf numFmtId="3" fontId="55" fillId="0" borderId="1" xfId="0" applyNumberFormat="1" applyFont="1" applyBorder="1" applyAlignment="1">
      <alignment horizontal="right" vertical="center"/>
    </xf>
    <xf numFmtId="0" fontId="54" fillId="0" borderId="1" xfId="0" applyFont="1" applyBorder="1"/>
    <xf numFmtId="0" fontId="54" fillId="0" borderId="1" xfId="0" applyFont="1" applyFill="1" applyBorder="1"/>
    <xf numFmtId="49" fontId="55" fillId="0" borderId="0" xfId="0" applyNumberFormat="1" applyFont="1"/>
    <xf numFmtId="4" fontId="20" fillId="0" borderId="1" xfId="0" applyNumberFormat="1" applyFont="1" applyBorder="1"/>
    <xf numFmtId="0" fontId="55" fillId="0" borderId="1" xfId="0" applyFont="1" applyFill="1" applyBorder="1"/>
    <xf numFmtId="3" fontId="55" fillId="0" borderId="1" xfId="0" applyNumberFormat="1" applyFont="1" applyFill="1" applyBorder="1"/>
    <xf numFmtId="3" fontId="55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165" fontId="20" fillId="0" borderId="0" xfId="0" applyNumberFormat="1" applyFont="1" applyFill="1"/>
    <xf numFmtId="0" fontId="55" fillId="0" borderId="0" xfId="0" applyFont="1" applyAlignment="1">
      <alignment horizontal="left" wrapText="1"/>
    </xf>
    <xf numFmtId="0" fontId="55" fillId="0" borderId="0" xfId="0" applyFont="1" applyAlignment="1">
      <alignment horizontal="right"/>
    </xf>
    <xf numFmtId="0" fontId="85" fillId="0" borderId="0" xfId="0" applyFont="1"/>
    <xf numFmtId="49" fontId="55" fillId="0" borderId="0" xfId="0" applyNumberFormat="1" applyFont="1" applyBorder="1"/>
    <xf numFmtId="4" fontId="74" fillId="4" borderId="4" xfId="0" applyNumberFormat="1" applyFont="1" applyFill="1" applyBorder="1" applyAlignment="1">
      <alignment horizontal="right" vertical="center"/>
    </xf>
    <xf numFmtId="164" fontId="74" fillId="4" borderId="1" xfId="0" applyNumberFormat="1" applyFont="1" applyFill="1" applyBorder="1" applyAlignment="1">
      <alignment horizontal="right" vertical="center"/>
    </xf>
    <xf numFmtId="0" fontId="58" fillId="0" borderId="10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49" fontId="57" fillId="0" borderId="10" xfId="0" applyNumberFormat="1" applyFont="1" applyBorder="1" applyAlignment="1">
      <alignment horizontal="center" vertical="center"/>
    </xf>
    <xf numFmtId="165" fontId="74" fillId="0" borderId="10" xfId="0" applyNumberFormat="1" applyFont="1" applyBorder="1" applyAlignment="1">
      <alignment horizontal="right" vertical="center"/>
    </xf>
    <xf numFmtId="2" fontId="20" fillId="0" borderId="0" xfId="0" applyNumberFormat="1" applyFont="1" applyFill="1"/>
    <xf numFmtId="0" fontId="55" fillId="0" borderId="1" xfId="0" applyFont="1" applyFill="1" applyBorder="1" applyAlignment="1">
      <alignment horizontal="center" vertical="center"/>
    </xf>
    <xf numFmtId="9" fontId="57" fillId="0" borderId="1" xfId="0" applyNumberFormat="1" applyFont="1" applyBorder="1" applyAlignment="1">
      <alignment horizontal="center" vertical="center" wrapText="1"/>
    </xf>
    <xf numFmtId="49" fontId="57" fillId="0" borderId="1" xfId="0" applyNumberFormat="1" applyFont="1" applyFill="1" applyBorder="1" applyAlignment="1">
      <alignment horizontal="center" vertical="center"/>
    </xf>
    <xf numFmtId="4" fontId="57" fillId="0" borderId="1" xfId="0" applyNumberFormat="1" applyFont="1" applyFill="1" applyBorder="1" applyAlignment="1">
      <alignment vertical="center"/>
    </xf>
    <xf numFmtId="2" fontId="57" fillId="0" borderId="1" xfId="0" applyNumberFormat="1" applyFont="1" applyFill="1" applyBorder="1" applyAlignment="1">
      <alignment vertical="center"/>
    </xf>
    <xf numFmtId="165" fontId="73" fillId="6" borderId="1" xfId="0" applyNumberFormat="1" applyFont="1" applyFill="1" applyBorder="1"/>
    <xf numFmtId="3" fontId="57" fillId="0" borderId="1" xfId="0" applyNumberFormat="1" applyFont="1" applyFill="1" applyBorder="1" applyAlignment="1">
      <alignment horizontal="center" vertical="center"/>
    </xf>
    <xf numFmtId="164" fontId="73" fillId="6" borderId="1" xfId="0" applyNumberFormat="1" applyFont="1" applyFill="1" applyBorder="1"/>
    <xf numFmtId="164" fontId="24" fillId="0" borderId="1" xfId="5" applyNumberFormat="1" applyFont="1" applyFill="1" applyBorder="1" applyAlignment="1">
      <alignment horizontal="right" vertical="center"/>
    </xf>
    <xf numFmtId="0" fontId="24" fillId="0" borderId="1" xfId="5" applyFont="1" applyFill="1" applyBorder="1" applyAlignment="1">
      <alignment horizontal="center" vertical="center" wrapText="1"/>
    </xf>
    <xf numFmtId="49" fontId="24" fillId="0" borderId="1" xfId="5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166" fontId="57" fillId="0" borderId="4" xfId="0" applyNumberFormat="1" applyFont="1" applyBorder="1" applyAlignment="1">
      <alignment horizontal="center" vertical="center" wrapText="1"/>
    </xf>
    <xf numFmtId="0" fontId="56" fillId="0" borderId="0" xfId="0" applyFont="1" applyFill="1" applyBorder="1" applyAlignment="1">
      <alignment vertical="center" wrapText="1"/>
    </xf>
    <xf numFmtId="0" fontId="19" fillId="0" borderId="0" xfId="0" applyFont="1"/>
    <xf numFmtId="4" fontId="79" fillId="0" borderId="10" xfId="0" applyNumberFormat="1" applyFont="1" applyFill="1" applyBorder="1" applyAlignment="1">
      <alignment vertical="center"/>
    </xf>
    <xf numFmtId="164" fontId="20" fillId="0" borderId="0" xfId="0" applyNumberFormat="1" applyFont="1" applyBorder="1"/>
    <xf numFmtId="0" fontId="88" fillId="0" borderId="1" xfId="0" applyFont="1" applyBorder="1" applyAlignment="1">
      <alignment horizontal="center"/>
    </xf>
    <xf numFmtId="4" fontId="88" fillId="0" borderId="1" xfId="0" applyNumberFormat="1" applyFont="1" applyBorder="1" applyAlignment="1">
      <alignment horizontal="right" vertical="center"/>
    </xf>
    <xf numFmtId="0" fontId="88" fillId="0" borderId="1" xfId="0" applyFont="1" applyBorder="1" applyAlignment="1">
      <alignment horizontal="right" vertical="center"/>
    </xf>
    <xf numFmtId="4" fontId="25" fillId="0" borderId="1" xfId="0" applyNumberFormat="1" applyFont="1" applyBorder="1" applyAlignment="1">
      <alignment horizontal="right" vertical="center"/>
    </xf>
    <xf numFmtId="0" fontId="25" fillId="0" borderId="1" xfId="0" applyFont="1" applyBorder="1" applyAlignment="1">
      <alignment horizontal="right" vertical="center"/>
    </xf>
    <xf numFmtId="4" fontId="25" fillId="2" borderId="1" xfId="0" applyNumberFormat="1" applyFont="1" applyFill="1" applyBorder="1" applyAlignment="1">
      <alignment horizontal="right" vertical="center"/>
    </xf>
    <xf numFmtId="0" fontId="89" fillId="0" borderId="1" xfId="0" applyFont="1" applyBorder="1" applyAlignment="1">
      <alignment horizontal="right" vertical="center"/>
    </xf>
    <xf numFmtId="0" fontId="25" fillId="0" borderId="1" xfId="0" applyFont="1" applyBorder="1" applyAlignment="1">
      <alignment vertical="center"/>
    </xf>
    <xf numFmtId="4" fontId="88" fillId="0" borderId="1" xfId="0" applyNumberFormat="1" applyFont="1" applyFill="1" applyBorder="1" applyAlignment="1">
      <alignment horizontal="right" vertical="center"/>
    </xf>
    <xf numFmtId="165" fontId="20" fillId="0" borderId="0" xfId="0" applyNumberFormat="1" applyFont="1"/>
    <xf numFmtId="164" fontId="55" fillId="0" borderId="1" xfId="6" applyNumberFormat="1" applyFont="1" applyFill="1" applyBorder="1" applyAlignment="1">
      <alignment horizontal="right" vertical="center" wrapText="1"/>
    </xf>
    <xf numFmtId="49" fontId="55" fillId="0" borderId="1" xfId="0" applyNumberFormat="1" applyFont="1" applyBorder="1"/>
    <xf numFmtId="4" fontId="55" fillId="0" borderId="1" xfId="5" applyNumberFormat="1" applyFont="1" applyFill="1" applyBorder="1" applyAlignment="1">
      <alignment vertical="center"/>
    </xf>
    <xf numFmtId="164" fontId="20" fillId="4" borderId="1" xfId="0" applyNumberFormat="1" applyFont="1" applyFill="1" applyBorder="1" applyAlignment="1">
      <alignment horizontal="right" vertical="center"/>
    </xf>
    <xf numFmtId="0" fontId="57" fillId="0" borderId="1" xfId="0" applyFont="1" applyBorder="1" applyAlignment="1">
      <alignment horizontal="left" vertical="center" wrapText="1"/>
    </xf>
    <xf numFmtId="164" fontId="73" fillId="6" borderId="1" xfId="0" applyNumberFormat="1" applyFont="1" applyFill="1" applyBorder="1" applyAlignment="1">
      <alignment horizontal="right" vertical="center" indent="1"/>
    </xf>
    <xf numFmtId="0" fontId="5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" xfId="0" applyFont="1" applyBorder="1"/>
    <xf numFmtId="167" fontId="22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right" vertical="center"/>
    </xf>
    <xf numFmtId="165" fontId="22" fillId="7" borderId="1" xfId="0" applyNumberFormat="1" applyFont="1" applyFill="1" applyBorder="1" applyAlignment="1">
      <alignment vertical="center"/>
    </xf>
    <xf numFmtId="164" fontId="22" fillId="7" borderId="1" xfId="0" applyNumberFormat="1" applyFont="1" applyFill="1" applyBorder="1" applyAlignment="1">
      <alignment vertical="center"/>
    </xf>
    <xf numFmtId="165" fontId="22" fillId="0" borderId="1" xfId="0" applyNumberFormat="1" applyFont="1" applyBorder="1" applyAlignment="1">
      <alignment vertical="center"/>
    </xf>
    <xf numFmtId="167" fontId="55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60" fillId="0" borderId="1" xfId="0" applyFont="1" applyBorder="1" applyAlignment="1">
      <alignment horizontal="right" vertical="center"/>
    </xf>
    <xf numFmtId="10" fontId="74" fillId="0" borderId="1" xfId="0" applyNumberFormat="1" applyFont="1" applyBorder="1" applyAlignment="1">
      <alignment horizontal="left" vertical="center" wrapText="1"/>
    </xf>
    <xf numFmtId="0" fontId="76" fillId="0" borderId="0" xfId="0" applyFont="1" applyBorder="1"/>
    <xf numFmtId="164" fontId="76" fillId="0" borderId="0" xfId="0" applyNumberFormat="1" applyFont="1" applyBorder="1"/>
    <xf numFmtId="165" fontId="76" fillId="0" borderId="0" xfId="0" applyNumberFormat="1" applyFont="1" applyBorder="1"/>
    <xf numFmtId="4" fontId="21" fillId="0" borderId="1" xfId="0" applyNumberFormat="1" applyFont="1" applyBorder="1" applyAlignment="1">
      <alignment vertical="center"/>
    </xf>
    <xf numFmtId="4" fontId="43" fillId="0" borderId="1" xfId="0" applyNumberFormat="1" applyFont="1" applyBorder="1"/>
    <xf numFmtId="167" fontId="55" fillId="3" borderId="0" xfId="0" applyNumberFormat="1" applyFont="1" applyFill="1" applyBorder="1"/>
    <xf numFmtId="167" fontId="76" fillId="3" borderId="0" xfId="0" applyNumberFormat="1" applyFont="1" applyFill="1" applyBorder="1"/>
    <xf numFmtId="167" fontId="55" fillId="3" borderId="13" xfId="0" applyNumberFormat="1" applyFont="1" applyFill="1" applyBorder="1"/>
    <xf numFmtId="0" fontId="77" fillId="4" borderId="0" xfId="0" applyFont="1" applyFill="1" applyAlignment="1">
      <alignment vertical="center"/>
    </xf>
    <xf numFmtId="0" fontId="43" fillId="0" borderId="0" xfId="0" applyFont="1" applyAlignment="1">
      <alignment vertical="center"/>
    </xf>
    <xf numFmtId="164" fontId="57" fillId="0" borderId="0" xfId="0" applyNumberFormat="1" applyFont="1" applyAlignment="1">
      <alignment horizontal="left" vertical="center"/>
    </xf>
    <xf numFmtId="4" fontId="74" fillId="0" borderId="1" xfId="0" applyNumberFormat="1" applyFont="1" applyFill="1" applyBorder="1" applyAlignment="1">
      <alignment horizontal="right" vertical="center"/>
    </xf>
    <xf numFmtId="49" fontId="94" fillId="0" borderId="1" xfId="0" applyNumberFormat="1" applyFont="1" applyFill="1" applyBorder="1" applyAlignment="1">
      <alignment horizontal="center" vertical="center"/>
    </xf>
    <xf numFmtId="49" fontId="95" fillId="0" borderId="1" xfId="0" applyNumberFormat="1" applyFont="1" applyFill="1" applyBorder="1" applyAlignment="1">
      <alignment horizontal="center" vertical="center"/>
    </xf>
    <xf numFmtId="49" fontId="95" fillId="0" borderId="1" xfId="3" applyNumberFormat="1" applyFont="1" applyFill="1" applyBorder="1" applyAlignment="1">
      <alignment horizontal="center" vertical="center"/>
    </xf>
    <xf numFmtId="164" fontId="75" fillId="0" borderId="0" xfId="0" applyNumberFormat="1" applyFont="1" applyFill="1" applyBorder="1" applyAlignment="1">
      <alignment horizontal="right" vertical="center" indent="1"/>
    </xf>
    <xf numFmtId="0" fontId="60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49" fontId="23" fillId="0" borderId="0" xfId="0" applyNumberFormat="1" applyFont="1" applyFill="1" applyAlignment="1">
      <alignment vertical="center"/>
    </xf>
    <xf numFmtId="0" fontId="87" fillId="0" borderId="0" xfId="0" applyFont="1"/>
    <xf numFmtId="4" fontId="87" fillId="0" borderId="0" xfId="0" applyNumberFormat="1" applyFont="1"/>
    <xf numFmtId="164" fontId="30" fillId="0" borderId="1" xfId="6" applyNumberFormat="1" applyFont="1" applyFill="1" applyBorder="1" applyAlignment="1">
      <alignment vertical="center" wrapText="1"/>
    </xf>
    <xf numFmtId="164" fontId="30" fillId="0" borderId="1" xfId="5" applyNumberFormat="1" applyFont="1" applyFill="1" applyBorder="1" applyAlignment="1">
      <alignment horizontal="right" vertical="center"/>
    </xf>
    <xf numFmtId="0" fontId="87" fillId="0" borderId="0" xfId="0" applyFont="1" applyAlignment="1">
      <alignment vertical="center"/>
    </xf>
    <xf numFmtId="164" fontId="21" fillId="0" borderId="15" xfId="0" applyNumberFormat="1" applyFont="1" applyBorder="1"/>
    <xf numFmtId="164" fontId="54" fillId="0" borderId="15" xfId="0" applyNumberFormat="1" applyFont="1" applyBorder="1"/>
    <xf numFmtId="164" fontId="63" fillId="4" borderId="16" xfId="0" applyNumberFormat="1" applyFont="1" applyFill="1" applyBorder="1" applyAlignment="1">
      <alignment vertical="center"/>
    </xf>
    <xf numFmtId="164" fontId="54" fillId="0" borderId="8" xfId="0" applyNumberFormat="1" applyFont="1" applyBorder="1"/>
    <xf numFmtId="164" fontId="93" fillId="4" borderId="16" xfId="0" applyNumberFormat="1" applyFont="1" applyFill="1" applyBorder="1"/>
    <xf numFmtId="0" fontId="17" fillId="0" borderId="0" xfId="0" applyFont="1"/>
    <xf numFmtId="0" fontId="87" fillId="0" borderId="0" xfId="0" applyFont="1" applyAlignment="1">
      <alignment horizontal="center" vertical="center"/>
    </xf>
    <xf numFmtId="9" fontId="20" fillId="0" borderId="0" xfId="0" applyNumberFormat="1" applyFont="1"/>
    <xf numFmtId="4" fontId="17" fillId="0" borderId="0" xfId="0" applyNumberFormat="1" applyFont="1"/>
    <xf numFmtId="49" fontId="55" fillId="0" borderId="1" xfId="0" applyNumberFormat="1" applyFont="1" applyBorder="1" applyAlignment="1">
      <alignment horizontal="right" vertical="center" wrapText="1"/>
    </xf>
    <xf numFmtId="10" fontId="55" fillId="0" borderId="1" xfId="0" applyNumberFormat="1" applyFont="1" applyBorder="1" applyAlignment="1">
      <alignment horizontal="center" vertical="center"/>
    </xf>
    <xf numFmtId="4" fontId="55" fillId="0" borderId="1" xfId="5" applyNumberFormat="1" applyFont="1" applyBorder="1" applyAlignment="1">
      <alignment vertical="center"/>
    </xf>
    <xf numFmtId="0" fontId="55" fillId="0" borderId="4" xfId="0" applyFont="1" applyBorder="1" applyAlignment="1">
      <alignment horizontal="left" vertical="center"/>
    </xf>
    <xf numFmtId="0" fontId="68" fillId="0" borderId="1" xfId="0" applyFont="1" applyBorder="1" applyAlignment="1">
      <alignment horizontal="right" vertical="center" wrapText="1"/>
    </xf>
    <xf numFmtId="0" fontId="68" fillId="0" borderId="1" xfId="0" applyNumberFormat="1" applyFont="1" applyBorder="1" applyAlignment="1">
      <alignment horizontal="right" vertical="center"/>
    </xf>
    <xf numFmtId="164" fontId="87" fillId="0" borderId="0" xfId="0" applyNumberFormat="1" applyFont="1" applyBorder="1" applyAlignment="1">
      <alignment horizontal="right" vertical="center"/>
    </xf>
    <xf numFmtId="49" fontId="68" fillId="0" borderId="1" xfId="0" applyNumberFormat="1" applyFont="1" applyBorder="1" applyAlignment="1">
      <alignment horizontal="right" vertical="center" wrapText="1"/>
    </xf>
    <xf numFmtId="10" fontId="68" fillId="0" borderId="1" xfId="0" applyNumberFormat="1" applyFont="1" applyBorder="1" applyAlignment="1">
      <alignment horizontal="center" vertical="center"/>
    </xf>
    <xf numFmtId="49" fontId="68" fillId="0" borderId="0" xfId="0" applyNumberFormat="1" applyFont="1" applyBorder="1" applyAlignment="1">
      <alignment horizontal="center" vertical="center" wrapText="1"/>
    </xf>
    <xf numFmtId="0" fontId="68" fillId="0" borderId="0" xfId="0" applyFont="1" applyBorder="1" applyAlignment="1">
      <alignment horizontal="center" vertical="center" wrapText="1"/>
    </xf>
    <xf numFmtId="0" fontId="68" fillId="0" borderId="0" xfId="0" applyNumberFormat="1" applyFont="1" applyBorder="1" applyAlignment="1">
      <alignment horizontal="right" vertical="center"/>
    </xf>
    <xf numFmtId="49" fontId="68" fillId="0" borderId="0" xfId="0" applyNumberFormat="1" applyFont="1" applyBorder="1" applyAlignment="1">
      <alignment horizontal="right" vertical="center" wrapText="1"/>
    </xf>
    <xf numFmtId="0" fontId="68" fillId="0" borderId="0" xfId="0" applyFont="1" applyBorder="1" applyAlignment="1">
      <alignment horizontal="left" vertical="center"/>
    </xf>
    <xf numFmtId="0" fontId="55" fillId="0" borderId="0" xfId="0" applyFont="1" applyFill="1" applyBorder="1" applyAlignment="1">
      <alignment horizontal="left" vertical="center" wrapText="1"/>
    </xf>
    <xf numFmtId="0" fontId="127" fillId="0" borderId="1" xfId="3" applyBorder="1" applyAlignment="1">
      <alignment vertical="center" wrapText="1"/>
    </xf>
    <xf numFmtId="0" fontId="62" fillId="0" borderId="1" xfId="3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" fontId="75" fillId="0" borderId="1" xfId="0" applyNumberFormat="1" applyFont="1" applyBorder="1"/>
    <xf numFmtId="4" fontId="25" fillId="0" borderId="1" xfId="0" applyNumberFormat="1" applyFont="1" applyFill="1" applyBorder="1" applyAlignment="1">
      <alignment horizontal="right" vertical="center"/>
    </xf>
    <xf numFmtId="1" fontId="97" fillId="0" borderId="1" xfId="0" applyNumberFormat="1" applyFont="1" applyBorder="1" applyAlignment="1">
      <alignment horizontal="center" vertical="center"/>
    </xf>
    <xf numFmtId="1" fontId="62" fillId="0" borderId="1" xfId="3" applyNumberFormat="1" applyFont="1" applyBorder="1" applyAlignment="1">
      <alignment horizontal="center" vertical="center"/>
    </xf>
    <xf numFmtId="1" fontId="75" fillId="0" borderId="1" xfId="0" applyNumberFormat="1" applyFont="1" applyBorder="1" applyAlignment="1">
      <alignment horizontal="center" vertical="center"/>
    </xf>
    <xf numFmtId="1" fontId="74" fillId="0" borderId="1" xfId="0" applyNumberFormat="1" applyFont="1" applyBorder="1" applyAlignment="1">
      <alignment horizontal="center" vertical="center"/>
    </xf>
    <xf numFmtId="1" fontId="57" fillId="0" borderId="1" xfId="0" applyNumberFormat="1" applyFont="1" applyBorder="1" applyAlignment="1">
      <alignment horizontal="center" vertical="center"/>
    </xf>
    <xf numFmtId="1" fontId="73" fillId="0" borderId="1" xfId="3" applyNumberFormat="1" applyFont="1" applyBorder="1" applyAlignment="1">
      <alignment horizontal="center" vertical="center"/>
    </xf>
    <xf numFmtId="1" fontId="73" fillId="0" borderId="1" xfId="0" applyNumberFormat="1" applyFont="1" applyBorder="1" applyAlignment="1">
      <alignment horizontal="center" vertical="center"/>
    </xf>
    <xf numFmtId="0" fontId="97" fillId="0" borderId="1" xfId="0" applyFont="1" applyBorder="1" applyAlignment="1">
      <alignment horizontal="left" vertical="center" wrapText="1"/>
    </xf>
    <xf numFmtId="0" fontId="62" fillId="0" borderId="1" xfId="3" applyFont="1" applyBorder="1" applyAlignment="1">
      <alignment horizontal="left" vertical="center" wrapText="1"/>
    </xf>
    <xf numFmtId="0" fontId="75" fillId="0" borderId="1" xfId="0" applyFont="1" applyBorder="1" applyAlignment="1">
      <alignment horizontal="left" vertical="center" wrapText="1"/>
    </xf>
    <xf numFmtId="0" fontId="74" fillId="0" borderId="1" xfId="0" applyFont="1" applyBorder="1" applyAlignment="1">
      <alignment horizontal="left" vertical="center" wrapText="1"/>
    </xf>
    <xf numFmtId="0" fontId="73" fillId="0" borderId="1" xfId="3" applyFont="1" applyBorder="1" applyAlignment="1">
      <alignment horizontal="left" vertical="center" wrapText="1"/>
    </xf>
    <xf numFmtId="0" fontId="73" fillId="0" borderId="1" xfId="0" applyFont="1" applyBorder="1" applyAlignment="1">
      <alignment horizontal="left" vertical="center" wrapText="1"/>
    </xf>
    <xf numFmtId="0" fontId="97" fillId="0" borderId="1" xfId="4" applyFont="1" applyBorder="1"/>
    <xf numFmtId="0" fontId="43" fillId="0" borderId="1" xfId="4" applyFont="1" applyBorder="1" applyAlignment="1">
      <alignment horizontal="left" vertical="center" wrapText="1"/>
    </xf>
    <xf numFmtId="164" fontId="29" fillId="0" borderId="1" xfId="3" applyNumberFormat="1" applyFont="1" applyFill="1" applyBorder="1" applyAlignment="1">
      <alignment horizontal="right" vertical="center"/>
    </xf>
    <xf numFmtId="164" fontId="50" fillId="0" borderId="1" xfId="3" applyNumberFormat="1" applyFont="1" applyFill="1" applyBorder="1" applyAlignment="1">
      <alignment horizontal="right" vertical="center"/>
    </xf>
    <xf numFmtId="49" fontId="98" fillId="0" borderId="1" xfId="0" applyNumberFormat="1" applyFont="1" applyFill="1" applyBorder="1" applyAlignment="1">
      <alignment horizontal="center" vertical="center"/>
    </xf>
    <xf numFmtId="164" fontId="98" fillId="0" borderId="1" xfId="0" applyNumberFormat="1" applyFont="1" applyFill="1" applyBorder="1" applyAlignment="1">
      <alignment horizontal="right" vertical="center"/>
    </xf>
    <xf numFmtId="164" fontId="54" fillId="0" borderId="1" xfId="3" applyNumberFormat="1" applyFont="1" applyFill="1" applyBorder="1" applyAlignment="1">
      <alignment horizontal="right" vertical="center"/>
    </xf>
    <xf numFmtId="49" fontId="98" fillId="0" borderId="1" xfId="3" applyNumberFormat="1" applyFont="1" applyFill="1" applyBorder="1" applyAlignment="1">
      <alignment horizontal="center" vertical="center"/>
    </xf>
    <xf numFmtId="164" fontId="98" fillId="0" borderId="1" xfId="3" applyNumberFormat="1" applyFont="1" applyFill="1" applyBorder="1" applyAlignment="1">
      <alignment horizontal="right" vertical="center"/>
    </xf>
    <xf numFmtId="0" fontId="99" fillId="0" borderId="1" xfId="3" applyFont="1" applyFill="1" applyBorder="1" applyAlignment="1">
      <alignment horizontal="left" vertical="center" wrapText="1"/>
    </xf>
    <xf numFmtId="164" fontId="73" fillId="0" borderId="1" xfId="3" applyNumberFormat="1" applyFont="1" applyFill="1" applyBorder="1" applyAlignment="1">
      <alignment horizontal="right" vertical="center"/>
    </xf>
    <xf numFmtId="49" fontId="73" fillId="0" borderId="1" xfId="3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/>
    <xf numFmtId="4" fontId="15" fillId="0" borderId="0" xfId="0" applyNumberFormat="1" applyFont="1" applyFill="1"/>
    <xf numFmtId="49" fontId="50" fillId="0" borderId="1" xfId="0" applyNumberFormat="1" applyFont="1" applyFill="1" applyBorder="1" applyAlignment="1">
      <alignment horizontal="center" vertical="center"/>
    </xf>
    <xf numFmtId="49" fontId="75" fillId="0" borderId="1" xfId="0" applyNumberFormat="1" applyFont="1" applyBorder="1" applyAlignment="1">
      <alignment horizontal="center" vertical="center"/>
    </xf>
    <xf numFmtId="49" fontId="73" fillId="0" borderId="1" xfId="0" applyNumberFormat="1" applyFont="1" applyBorder="1" applyAlignment="1">
      <alignment horizontal="center" vertical="center"/>
    </xf>
    <xf numFmtId="4" fontId="74" fillId="0" borderId="4" xfId="0" applyNumberFormat="1" applyFont="1" applyFill="1" applyBorder="1" applyAlignment="1">
      <alignment horizontal="right" vertical="center"/>
    </xf>
    <xf numFmtId="0" fontId="54" fillId="0" borderId="1" xfId="3" applyFont="1" applyFill="1" applyBorder="1" applyAlignment="1">
      <alignment horizontal="center" vertical="center" wrapText="1"/>
    </xf>
    <xf numFmtId="0" fontId="54" fillId="0" borderId="1" xfId="3" applyFont="1" applyFill="1" applyBorder="1" applyAlignment="1">
      <alignment horizontal="left" vertical="center" wrapText="1"/>
    </xf>
    <xf numFmtId="49" fontId="34" fillId="0" borderId="1" xfId="3" applyNumberFormat="1" applyFont="1" applyBorder="1" applyAlignment="1">
      <alignment horizontal="center" vertical="center" wrapText="1"/>
    </xf>
    <xf numFmtId="164" fontId="54" fillId="0" borderId="1" xfId="3" applyNumberFormat="1" applyFont="1" applyFill="1" applyBorder="1" applyAlignment="1">
      <alignment horizontal="right" vertical="center" wrapText="1"/>
    </xf>
    <xf numFmtId="0" fontId="34" fillId="0" borderId="1" xfId="3" applyFont="1" applyBorder="1" applyAlignment="1">
      <alignment horizontal="left" vertical="center" wrapText="1"/>
    </xf>
    <xf numFmtId="164" fontId="54" fillId="2" borderId="1" xfId="3" applyNumberFormat="1" applyFont="1" applyFill="1" applyBorder="1" applyAlignment="1">
      <alignment horizontal="right" vertical="center" wrapText="1"/>
    </xf>
    <xf numFmtId="0" fontId="32" fillId="0" borderId="28" xfId="2" applyFont="1" applyAlignment="1">
      <alignment horizontal="left" vertical="center" wrapText="1"/>
    </xf>
    <xf numFmtId="164" fontId="32" fillId="2" borderId="1" xfId="3" applyNumberFormat="1" applyFont="1" applyFill="1" applyBorder="1" applyAlignment="1">
      <alignment horizontal="right" vertical="center" wrapText="1"/>
    </xf>
    <xf numFmtId="164" fontId="34" fillId="2" borderId="1" xfId="3" applyNumberFormat="1" applyFont="1" applyFill="1" applyBorder="1" applyAlignment="1">
      <alignment horizontal="right" vertical="center" wrapText="1"/>
    </xf>
    <xf numFmtId="0" fontId="74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4" fontId="57" fillId="0" borderId="4" xfId="0" applyNumberFormat="1" applyFont="1" applyBorder="1" applyAlignment="1">
      <alignment horizontal="center" vertical="center" wrapText="1"/>
    </xf>
    <xf numFmtId="4" fontId="103" fillId="0" borderId="0" xfId="0" applyNumberFormat="1" applyFont="1"/>
    <xf numFmtId="164" fontId="23" fillId="0" borderId="0" xfId="5" applyNumberFormat="1" applyFont="1" applyAlignment="1"/>
    <xf numFmtId="0" fontId="28" fillId="0" borderId="0" xfId="5" applyFont="1" applyAlignment="1">
      <alignment horizontal="center" vertical="center" wrapText="1"/>
    </xf>
    <xf numFmtId="0" fontId="104" fillId="0" borderId="0" xfId="5" applyFont="1" applyAlignment="1">
      <alignment horizontal="center" vertical="center" wrapText="1"/>
    </xf>
    <xf numFmtId="0" fontId="23" fillId="0" borderId="0" xfId="5" applyFont="1" applyAlignment="1">
      <alignment vertical="center"/>
    </xf>
    <xf numFmtId="0" fontId="23" fillId="0" borderId="0" xfId="5" applyFont="1" applyBorder="1" applyAlignment="1">
      <alignment horizontal="right" vertical="center"/>
    </xf>
    <xf numFmtId="4" fontId="23" fillId="0" borderId="0" xfId="5" applyNumberFormat="1" applyFont="1" applyBorder="1" applyAlignment="1">
      <alignment vertical="center"/>
    </xf>
    <xf numFmtId="49" fontId="23" fillId="0" borderId="0" xfId="5" applyNumberFormat="1" applyFont="1" applyAlignment="1">
      <alignment vertical="center"/>
    </xf>
    <xf numFmtId="49" fontId="23" fillId="0" borderId="0" xfId="5" applyNumberFormat="1" applyFont="1" applyFill="1" applyAlignment="1">
      <alignment horizontal="left" vertical="center"/>
    </xf>
    <xf numFmtId="49" fontId="100" fillId="0" borderId="0" xfId="5" applyNumberFormat="1" applyFont="1" applyFill="1" applyAlignment="1">
      <alignment horizontal="left" vertical="center"/>
    </xf>
    <xf numFmtId="49" fontId="24" fillId="0" borderId="0" xfId="5" applyNumberFormat="1" applyFont="1" applyFill="1" applyAlignment="1">
      <alignment horizontal="left" vertical="center"/>
    </xf>
    <xf numFmtId="49" fontId="33" fillId="0" borderId="0" xfId="5" applyNumberFormat="1" applyFont="1" applyFill="1" applyAlignment="1">
      <alignment horizontal="left" vertical="center"/>
    </xf>
    <xf numFmtId="49" fontId="24" fillId="0" borderId="0" xfId="5" applyNumberFormat="1" applyFont="1" applyFill="1" applyAlignment="1">
      <alignment horizontal="left" vertical="center" wrapText="1"/>
    </xf>
    <xf numFmtId="49" fontId="23" fillId="0" borderId="0" xfId="5" applyNumberFormat="1" applyFont="1" applyAlignment="1">
      <alignment horizontal="left" vertical="center"/>
    </xf>
    <xf numFmtId="4" fontId="23" fillId="0" borderId="0" xfId="5" applyNumberFormat="1" applyFont="1" applyBorder="1" applyAlignment="1">
      <alignment horizontal="center" vertical="center" wrapText="1"/>
    </xf>
    <xf numFmtId="4" fontId="23" fillId="0" borderId="0" xfId="5" applyNumberFormat="1" applyFont="1" applyFill="1" applyBorder="1" applyAlignment="1">
      <alignment horizontal="right" vertical="center"/>
    </xf>
    <xf numFmtId="4" fontId="40" fillId="0" borderId="0" xfId="5" applyNumberFormat="1" applyFont="1" applyFill="1" applyBorder="1" applyAlignment="1">
      <alignment horizontal="right" vertical="center"/>
    </xf>
    <xf numFmtId="4" fontId="23" fillId="0" borderId="20" xfId="5" applyNumberFormat="1" applyFont="1" applyFill="1" applyBorder="1" applyAlignment="1">
      <alignment vertical="center"/>
    </xf>
    <xf numFmtId="4" fontId="23" fillId="0" borderId="0" xfId="5" applyNumberFormat="1" applyFont="1" applyFill="1" applyBorder="1" applyAlignment="1">
      <alignment horizontal="center" vertical="center"/>
    </xf>
    <xf numFmtId="4" fontId="23" fillId="0" borderId="0" xfId="5" applyNumberFormat="1" applyFont="1" applyFill="1" applyBorder="1" applyAlignment="1">
      <alignment horizontal="right" vertical="center" wrapText="1"/>
    </xf>
    <xf numFmtId="4" fontId="23" fillId="0" borderId="0" xfId="5" applyNumberFormat="1" applyFont="1" applyAlignment="1">
      <alignment vertical="center" wrapText="1"/>
    </xf>
    <xf numFmtId="4" fontId="23" fillId="0" borderId="0" xfId="5" applyNumberFormat="1" applyFont="1" applyAlignment="1">
      <alignment vertical="center"/>
    </xf>
    <xf numFmtId="0" fontId="87" fillId="0" borderId="0" xfId="0" applyFont="1" applyAlignment="1">
      <alignment wrapText="1"/>
    </xf>
    <xf numFmtId="0" fontId="20" fillId="0" borderId="0" xfId="0" applyFont="1" applyAlignment="1">
      <alignment wrapText="1"/>
    </xf>
    <xf numFmtId="164" fontId="87" fillId="0" borderId="0" xfId="0" applyNumberFormat="1" applyFont="1" applyBorder="1" applyAlignment="1">
      <alignment horizontal="center" vertical="center" wrapText="1"/>
    </xf>
    <xf numFmtId="4" fontId="87" fillId="0" borderId="0" xfId="0" applyNumberFormat="1" applyFont="1" applyAlignment="1">
      <alignment vertical="center"/>
    </xf>
    <xf numFmtId="164" fontId="105" fillId="0" borderId="0" xfId="0" applyNumberFormat="1" applyFont="1" applyAlignment="1">
      <alignment vertical="center" wrapText="1"/>
    </xf>
    <xf numFmtId="4" fontId="87" fillId="0" borderId="0" xfId="0" applyNumberFormat="1" applyFont="1" applyBorder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4" fontId="87" fillId="0" borderId="0" xfId="0" applyNumberFormat="1" applyFont="1" applyAlignment="1">
      <alignment horizontal="right" vertical="center" wrapText="1"/>
    </xf>
    <xf numFmtId="4" fontId="57" fillId="0" borderId="1" xfId="0" applyNumberFormat="1" applyFont="1" applyBorder="1" applyAlignment="1">
      <alignment vertical="center" wrapText="1"/>
    </xf>
    <xf numFmtId="3" fontId="57" fillId="0" borderId="1" xfId="0" applyNumberFormat="1" applyFont="1" applyBorder="1" applyAlignment="1">
      <alignment horizontal="center" wrapText="1"/>
    </xf>
    <xf numFmtId="164" fontId="20" fillId="4" borderId="1" xfId="0" applyNumberFormat="1" applyFont="1" applyFill="1" applyBorder="1" applyAlignment="1">
      <alignment horizontal="right" vertical="center" indent="1"/>
    </xf>
    <xf numFmtId="4" fontId="57" fillId="0" borderId="1" xfId="0" applyNumberFormat="1" applyFont="1" applyBorder="1" applyAlignment="1">
      <alignment vertical="center"/>
    </xf>
    <xf numFmtId="164" fontId="23" fillId="0" borderId="0" xfId="0" applyNumberFormat="1" applyFont="1" applyFill="1"/>
    <xf numFmtId="4" fontId="34" fillId="0" borderId="0" xfId="0" applyNumberFormat="1" applyFont="1" applyFill="1" applyAlignment="1">
      <alignment vertical="center"/>
    </xf>
    <xf numFmtId="4" fontId="23" fillId="0" borderId="0" xfId="0" applyNumberFormat="1" applyFont="1" applyFill="1" applyAlignment="1">
      <alignment vertical="center"/>
    </xf>
    <xf numFmtId="4" fontId="23" fillId="0" borderId="0" xfId="5" applyNumberFormat="1" applyFont="1" applyFill="1" applyBorder="1" applyAlignment="1">
      <alignment vertical="center"/>
    </xf>
    <xf numFmtId="4" fontId="30" fillId="0" borderId="0" xfId="5" applyNumberFormat="1" applyFont="1" applyFill="1" applyBorder="1" applyAlignment="1">
      <alignment horizontal="right" vertical="center"/>
    </xf>
    <xf numFmtId="4" fontId="14" fillId="0" borderId="1" xfId="0" applyNumberFormat="1" applyFont="1" applyBorder="1" applyAlignment="1">
      <alignment vertical="center"/>
    </xf>
    <xf numFmtId="0" fontId="67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2" fillId="0" borderId="0" xfId="0" applyFont="1" applyBorder="1"/>
    <xf numFmtId="0" fontId="61" fillId="0" borderId="1" xfId="0" applyFont="1" applyFill="1" applyBorder="1" applyAlignment="1">
      <alignment horizontal="left" indent="5"/>
    </xf>
    <xf numFmtId="0" fontId="60" fillId="0" borderId="1" xfId="0" applyFont="1" applyBorder="1" applyAlignment="1">
      <alignment horizontal="right" vertical="center" indent="1"/>
    </xf>
    <xf numFmtId="168" fontId="54" fillId="0" borderId="1" xfId="0" applyNumberFormat="1" applyFont="1" applyFill="1" applyBorder="1" applyAlignment="1">
      <alignment horizontal="right" vertical="center" indent="1"/>
    </xf>
    <xf numFmtId="4" fontId="55" fillId="0" borderId="1" xfId="0" applyNumberFormat="1" applyFont="1" applyFill="1" applyBorder="1" applyAlignment="1">
      <alignment horizontal="right" vertical="center" indent="1"/>
    </xf>
    <xf numFmtId="164" fontId="55" fillId="0" borderId="1" xfId="0" applyNumberFormat="1" applyFont="1" applyFill="1" applyBorder="1" applyAlignment="1">
      <alignment horizontal="right" vertical="center" indent="1"/>
    </xf>
    <xf numFmtId="4" fontId="54" fillId="0" borderId="1" xfId="0" applyNumberFormat="1" applyFont="1" applyFill="1" applyBorder="1" applyAlignment="1">
      <alignment horizontal="right" vertical="center" indent="1"/>
    </xf>
    <xf numFmtId="4" fontId="55" fillId="0" borderId="1" xfId="0" applyNumberFormat="1" applyFont="1" applyFill="1" applyBorder="1" applyAlignment="1">
      <alignment vertical="center"/>
    </xf>
    <xf numFmtId="4" fontId="79" fillId="0" borderId="1" xfId="0" applyNumberFormat="1" applyFont="1" applyFill="1" applyBorder="1" applyAlignment="1">
      <alignment vertical="center" wrapText="1"/>
    </xf>
    <xf numFmtId="4" fontId="54" fillId="0" borderId="1" xfId="0" applyNumberFormat="1" applyFont="1" applyFill="1" applyBorder="1" applyAlignment="1">
      <alignment vertical="center"/>
    </xf>
    <xf numFmtId="0" fontId="87" fillId="0" borderId="0" xfId="0" applyFont="1" applyBorder="1"/>
    <xf numFmtId="49" fontId="24" fillId="2" borderId="1" xfId="5" applyNumberFormat="1" applyFont="1" applyFill="1" applyBorder="1" applyAlignment="1">
      <alignment horizontal="center" vertical="center" wrapText="1"/>
    </xf>
    <xf numFmtId="164" fontId="24" fillId="0" borderId="1" xfId="5" applyNumberFormat="1" applyFont="1" applyFill="1" applyBorder="1" applyAlignment="1">
      <alignment horizontal="right" vertical="center" wrapText="1"/>
    </xf>
    <xf numFmtId="49" fontId="24" fillId="0" borderId="1" xfId="5" applyNumberFormat="1" applyFont="1" applyBorder="1" applyAlignment="1">
      <alignment horizontal="center" vertical="center" wrapText="1"/>
    </xf>
    <xf numFmtId="0" fontId="24" fillId="0" borderId="1" xfId="5" applyFont="1" applyFill="1" applyBorder="1" applyAlignment="1">
      <alignment horizontal="left" vertical="center" wrapText="1" indent="1"/>
    </xf>
    <xf numFmtId="4" fontId="57" fillId="0" borderId="0" xfId="0" applyNumberFormat="1" applyFont="1" applyAlignment="1">
      <alignment horizontal="left"/>
    </xf>
    <xf numFmtId="4" fontId="57" fillId="0" borderId="1" xfId="0" applyNumberFormat="1" applyFont="1" applyBorder="1" applyAlignment="1">
      <alignment horizontal="right" vertical="center" wrapText="1" indent="1"/>
    </xf>
    <xf numFmtId="4" fontId="23" fillId="0" borderId="0" xfId="5" applyNumberFormat="1" applyFont="1" applyFill="1" applyAlignment="1">
      <alignment horizontal="left" vertical="center"/>
    </xf>
    <xf numFmtId="4" fontId="73" fillId="4" borderId="4" xfId="0" applyNumberFormat="1" applyFont="1" applyFill="1" applyBorder="1" applyAlignment="1">
      <alignment horizontal="right"/>
    </xf>
    <xf numFmtId="164" fontId="54" fillId="0" borderId="0" xfId="0" applyNumberFormat="1" applyFont="1" applyFill="1" applyBorder="1" applyAlignment="1">
      <alignment horizontal="left" vertical="center"/>
    </xf>
    <xf numFmtId="49" fontId="32" fillId="0" borderId="1" xfId="3" applyNumberFormat="1" applyFont="1" applyBorder="1" applyAlignment="1">
      <alignment horizontal="center" vertical="center" wrapText="1"/>
    </xf>
    <xf numFmtId="0" fontId="106" fillId="0" borderId="27" xfId="1" applyFont="1" applyAlignment="1">
      <alignment horizontal="left" vertical="center" wrapText="1"/>
    </xf>
    <xf numFmtId="0" fontId="32" fillId="0" borderId="28" xfId="2" applyFont="1" applyAlignment="1">
      <alignment horizontal="left" vertical="center"/>
    </xf>
    <xf numFmtId="0" fontId="32" fillId="0" borderId="28" xfId="2" applyFont="1" applyFill="1" applyAlignment="1">
      <alignment horizontal="left" vertical="center" wrapText="1"/>
    </xf>
    <xf numFmtId="49" fontId="32" fillId="2" borderId="1" xfId="3" applyNumberFormat="1" applyFont="1" applyFill="1" applyBorder="1" applyAlignment="1">
      <alignment horizontal="center" vertical="center" wrapText="1"/>
    </xf>
    <xf numFmtId="165" fontId="32" fillId="0" borderId="1" xfId="3" applyNumberFormat="1" applyFont="1" applyBorder="1" applyAlignment="1">
      <alignment horizontal="left" vertical="center" wrapText="1"/>
    </xf>
    <xf numFmtId="49" fontId="32" fillId="2" borderId="1" xfId="3" applyNumberFormat="1" applyFont="1" applyFill="1" applyBorder="1" applyAlignment="1">
      <alignment horizontal="left" vertical="center" wrapText="1"/>
    </xf>
    <xf numFmtId="0" fontId="106" fillId="0" borderId="27" xfId="1" applyFont="1" applyAlignment="1">
      <alignment horizontal="left" vertical="center"/>
    </xf>
    <xf numFmtId="49" fontId="32" fillId="0" borderId="1" xfId="2" applyNumberFormat="1" applyFont="1" applyFill="1" applyBorder="1" applyAlignment="1">
      <alignment horizontal="center" vertical="center" wrapText="1"/>
    </xf>
    <xf numFmtId="165" fontId="43" fillId="0" borderId="0" xfId="0" applyNumberFormat="1" applyFont="1" applyAlignment="1">
      <alignment vertical="center"/>
    </xf>
    <xf numFmtId="4" fontId="22" fillId="0" borderId="21" xfId="0" applyNumberFormat="1" applyFont="1" applyBorder="1"/>
    <xf numFmtId="4" fontId="22" fillId="0" borderId="22" xfId="0" applyNumberFormat="1" applyFont="1" applyBorder="1"/>
    <xf numFmtId="4" fontId="22" fillId="0" borderId="14" xfId="0" applyNumberFormat="1" applyFont="1" applyBorder="1"/>
    <xf numFmtId="0" fontId="22" fillId="0" borderId="14" xfId="0" applyFont="1" applyBorder="1"/>
    <xf numFmtId="0" fontId="22" fillId="0" borderId="23" xfId="0" applyFont="1" applyBorder="1"/>
    <xf numFmtId="4" fontId="76" fillId="0" borderId="1" xfId="0" applyNumberFormat="1" applyFont="1" applyBorder="1" applyAlignment="1">
      <alignment vertical="center"/>
    </xf>
    <xf numFmtId="49" fontId="68" fillId="0" borderId="0" xfId="0" applyNumberFormat="1" applyFont="1" applyFill="1" applyBorder="1" applyAlignment="1">
      <alignment horizontal="center" vertical="center" wrapText="1"/>
    </xf>
    <xf numFmtId="4" fontId="57" fillId="5" borderId="1" xfId="0" applyNumberFormat="1" applyFont="1" applyFill="1" applyBorder="1" applyAlignment="1">
      <alignment horizontal="right" vertical="center" indent="1"/>
    </xf>
    <xf numFmtId="0" fontId="57" fillId="0" borderId="1" xfId="0" applyFont="1" applyFill="1" applyBorder="1" applyAlignment="1">
      <alignment horizontal="left" vertical="center" wrapText="1"/>
    </xf>
    <xf numFmtId="0" fontId="88" fillId="0" borderId="0" xfId="0" applyFont="1" applyBorder="1" applyAlignment="1"/>
    <xf numFmtId="0" fontId="57" fillId="0" borderId="5" xfId="0" applyFont="1" applyFill="1" applyBorder="1" applyAlignment="1">
      <alignment horizontal="center" vertical="center" wrapText="1"/>
    </xf>
    <xf numFmtId="4" fontId="57" fillId="0" borderId="1" xfId="0" applyNumberFormat="1" applyFont="1" applyBorder="1" applyAlignment="1">
      <alignment horizontal="right" vertical="center" indent="1"/>
    </xf>
    <xf numFmtId="0" fontId="57" fillId="5" borderId="1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4" fontId="57" fillId="0" borderId="1" xfId="0" applyNumberFormat="1" applyFont="1" applyFill="1" applyBorder="1" applyAlignment="1">
      <alignment horizontal="center" vertical="center" wrapText="1"/>
    </xf>
    <xf numFmtId="4" fontId="57" fillId="0" borderId="5" xfId="0" applyNumberFormat="1" applyFont="1" applyBorder="1" applyAlignment="1">
      <alignment horizontal="right" vertical="center"/>
    </xf>
    <xf numFmtId="0" fontId="57" fillId="0" borderId="1" xfId="0" applyFont="1" applyBorder="1" applyAlignment="1">
      <alignment horizontal="left" vertical="center"/>
    </xf>
    <xf numFmtId="4" fontId="57" fillId="0" borderId="1" xfId="0" applyNumberFormat="1" applyFont="1" applyFill="1" applyBorder="1" applyAlignment="1">
      <alignment horizontal="right" vertical="center" indent="1"/>
    </xf>
    <xf numFmtId="0" fontId="58" fillId="0" borderId="1" xfId="0" applyNumberFormat="1" applyFont="1" applyBorder="1" applyAlignment="1">
      <alignment horizontal="center" vertical="center"/>
    </xf>
    <xf numFmtId="0" fontId="57" fillId="0" borderId="1" xfId="0" applyFont="1" applyBorder="1" applyAlignment="1"/>
    <xf numFmtId="0" fontId="69" fillId="0" borderId="1" xfId="0" applyFont="1" applyBorder="1" applyAlignment="1">
      <alignment horizontal="left" vertical="center" wrapText="1"/>
    </xf>
    <xf numFmtId="164" fontId="57" fillId="0" borderId="1" xfId="0" applyNumberFormat="1" applyFont="1" applyBorder="1" applyAlignment="1">
      <alignment horizontal="right" vertical="center" wrapText="1" indent="1"/>
    </xf>
    <xf numFmtId="0" fontId="58" fillId="0" borderId="5" xfId="0" applyFont="1" applyFill="1" applyBorder="1" applyAlignment="1">
      <alignment horizontal="center" vertical="center" wrapText="1"/>
    </xf>
    <xf numFmtId="4" fontId="57" fillId="0" borderId="1" xfId="0" applyNumberFormat="1" applyFont="1" applyFill="1" applyBorder="1" applyAlignment="1">
      <alignment horizontal="right" vertical="center" wrapText="1" indent="1"/>
    </xf>
    <xf numFmtId="0" fontId="69" fillId="0" borderId="1" xfId="0" applyFont="1" applyFill="1" applyBorder="1" applyAlignment="1">
      <alignment horizontal="left" vertical="center" wrapText="1"/>
    </xf>
    <xf numFmtId="4" fontId="57" fillId="0" borderId="1" xfId="0" applyNumberFormat="1" applyFont="1" applyFill="1" applyBorder="1" applyAlignment="1">
      <alignment horizontal="center" vertical="center"/>
    </xf>
    <xf numFmtId="0" fontId="57" fillId="0" borderId="5" xfId="0" applyFont="1" applyBorder="1" applyAlignment="1">
      <alignment vertical="center" wrapText="1"/>
    </xf>
    <xf numFmtId="0" fontId="58" fillId="0" borderId="5" xfId="0" applyFont="1" applyBorder="1" applyAlignment="1">
      <alignment vertical="center" wrapText="1"/>
    </xf>
    <xf numFmtId="0" fontId="57" fillId="0" borderId="24" xfId="0" applyFont="1" applyBorder="1" applyAlignment="1">
      <alignment horizontal="left" vertical="center" wrapText="1"/>
    </xf>
    <xf numFmtId="0" fontId="74" fillId="0" borderId="5" xfId="0" applyFont="1" applyBorder="1" applyAlignment="1">
      <alignment horizontal="center" vertical="center"/>
    </xf>
    <xf numFmtId="4" fontId="74" fillId="0" borderId="1" xfId="0" applyNumberFormat="1" applyFont="1" applyFill="1" applyBorder="1" applyAlignment="1">
      <alignment vertical="center"/>
    </xf>
    <xf numFmtId="4" fontId="75" fillId="0" borderId="1" xfId="0" applyNumberFormat="1" applyFont="1" applyBorder="1" applyAlignment="1">
      <alignment vertical="center"/>
    </xf>
    <xf numFmtId="0" fontId="74" fillId="5" borderId="1" xfId="0" applyFont="1" applyFill="1" applyBorder="1" applyAlignment="1">
      <alignment horizontal="center" vertical="center"/>
    </xf>
    <xf numFmtId="4" fontId="74" fillId="5" borderId="1" xfId="0" applyNumberFormat="1" applyFont="1" applyFill="1" applyBorder="1" applyAlignment="1">
      <alignment vertical="center"/>
    </xf>
    <xf numFmtId="4" fontId="34" fillId="0" borderId="1" xfId="0" applyNumberFormat="1" applyFont="1" applyFill="1" applyBorder="1" applyAlignment="1">
      <alignment horizontal="right" vertical="center"/>
    </xf>
    <xf numFmtId="0" fontId="76" fillId="0" borderId="0" xfId="0" applyFont="1"/>
    <xf numFmtId="0" fontId="74" fillId="5" borderId="1" xfId="0" applyFont="1" applyFill="1" applyBorder="1" applyAlignment="1">
      <alignment horizontal="left" vertical="center" wrapText="1"/>
    </xf>
    <xf numFmtId="0" fontId="55" fillId="0" borderId="0" xfId="0" applyFont="1" applyFill="1"/>
    <xf numFmtId="164" fontId="75" fillId="0" borderId="1" xfId="0" applyNumberFormat="1" applyFont="1" applyFill="1" applyBorder="1" applyAlignment="1">
      <alignment horizontal="right" vertical="center"/>
    </xf>
    <xf numFmtId="0" fontId="55" fillId="0" borderId="13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55" fillId="0" borderId="13" xfId="0" applyFont="1" applyBorder="1" applyAlignment="1">
      <alignment horizontal="center" vertical="center" wrapText="1"/>
    </xf>
    <xf numFmtId="0" fontId="56" fillId="8" borderId="14" xfId="0" applyFont="1" applyFill="1" applyBorder="1" applyAlignment="1">
      <alignment vertical="center"/>
    </xf>
    <xf numFmtId="164" fontId="73" fillId="6" borderId="1" xfId="0" applyNumberFormat="1" applyFont="1" applyFill="1" applyBorder="1" applyAlignment="1">
      <alignment vertical="center"/>
    </xf>
    <xf numFmtId="0" fontId="73" fillId="0" borderId="0" xfId="0" applyFont="1" applyFill="1" applyBorder="1" applyAlignment="1">
      <alignment horizontal="center" vertical="center"/>
    </xf>
    <xf numFmtId="4" fontId="74" fillId="0" borderId="0" xfId="0" applyNumberFormat="1" applyFont="1" applyBorder="1" applyAlignment="1">
      <alignment vertical="center"/>
    </xf>
    <xf numFmtId="4" fontId="74" fillId="0" borderId="0" xfId="0" applyNumberFormat="1" applyFont="1" applyFill="1" applyBorder="1" applyAlignment="1">
      <alignment vertical="center"/>
    </xf>
    <xf numFmtId="164" fontId="74" fillId="0" borderId="0" xfId="0" applyNumberFormat="1" applyFont="1" applyFill="1" applyBorder="1" applyAlignment="1">
      <alignment horizontal="right" vertical="center" indent="1"/>
    </xf>
    <xf numFmtId="0" fontId="9" fillId="0" borderId="0" xfId="0" applyFont="1"/>
    <xf numFmtId="0" fontId="55" fillId="0" borderId="0" xfId="0" applyFont="1" applyFill="1" applyBorder="1" applyAlignment="1">
      <alignment vertical="center" wrapText="1"/>
    </xf>
    <xf numFmtId="0" fontId="55" fillId="0" borderId="0" xfId="0" applyFont="1" applyFill="1" applyBorder="1" applyAlignment="1">
      <alignment horizontal="left"/>
    </xf>
    <xf numFmtId="4" fontId="21" fillId="0" borderId="0" xfId="0" applyNumberFormat="1" applyFont="1" applyFill="1" applyBorder="1"/>
    <xf numFmtId="0" fontId="43" fillId="0" borderId="0" xfId="0" applyFont="1" applyBorder="1" applyAlignment="1">
      <alignment horizontal="right" vertical="center"/>
    </xf>
    <xf numFmtId="4" fontId="43" fillId="0" borderId="0" xfId="0" applyNumberFormat="1" applyFont="1" applyBorder="1"/>
    <xf numFmtId="164" fontId="107" fillId="0" borderId="15" xfId="0" applyNumberFormat="1" applyFont="1" applyFill="1" applyBorder="1"/>
    <xf numFmtId="4" fontId="75" fillId="0" borderId="1" xfId="0" applyNumberFormat="1" applyFont="1" applyBorder="1" applyAlignment="1">
      <alignment horizontal="right" vertical="center"/>
    </xf>
    <xf numFmtId="4" fontId="73" fillId="0" borderId="1" xfId="0" applyNumberFormat="1" applyFont="1" applyBorder="1" applyAlignment="1">
      <alignment horizontal="center" vertical="center" wrapText="1"/>
    </xf>
    <xf numFmtId="169" fontId="74" fillId="0" borderId="1" xfId="0" applyNumberFormat="1" applyFont="1" applyFill="1" applyBorder="1" applyAlignment="1">
      <alignment horizontal="center" vertical="center"/>
    </xf>
    <xf numFmtId="0" fontId="21" fillId="10" borderId="0" xfId="0" applyFont="1" applyFill="1"/>
    <xf numFmtId="164" fontId="75" fillId="6" borderId="1" xfId="0" applyNumberFormat="1" applyFont="1" applyFill="1" applyBorder="1"/>
    <xf numFmtId="164" fontId="74" fillId="0" borderId="1" xfId="0" applyNumberFormat="1" applyFont="1" applyBorder="1" applyAlignment="1">
      <alignment horizontal="right" vertical="center" indent="1"/>
    </xf>
    <xf numFmtId="4" fontId="73" fillId="3" borderId="1" xfId="0" applyNumberFormat="1" applyFont="1" applyFill="1" applyBorder="1" applyAlignment="1">
      <alignment horizontal="right" vertical="center" indent="1"/>
    </xf>
    <xf numFmtId="4" fontId="75" fillId="3" borderId="1" xfId="0" applyNumberFormat="1" applyFont="1" applyFill="1" applyBorder="1"/>
    <xf numFmtId="4" fontId="57" fillId="3" borderId="1" xfId="0" applyNumberFormat="1" applyFont="1" applyFill="1" applyBorder="1" applyAlignment="1">
      <alignment vertical="center"/>
    </xf>
    <xf numFmtId="4" fontId="74" fillId="3" borderId="1" xfId="0" applyNumberFormat="1" applyFont="1" applyFill="1" applyBorder="1" applyAlignment="1">
      <alignment horizontal="right" vertical="center"/>
    </xf>
    <xf numFmtId="4" fontId="75" fillId="3" borderId="1" xfId="0" applyNumberFormat="1" applyFont="1" applyFill="1" applyBorder="1" applyAlignment="1">
      <alignment vertical="center"/>
    </xf>
    <xf numFmtId="165" fontId="75" fillId="3" borderId="1" xfId="0" applyNumberFormat="1" applyFont="1" applyFill="1" applyBorder="1" applyAlignment="1">
      <alignment vertical="center"/>
    </xf>
    <xf numFmtId="0" fontId="55" fillId="10" borderId="0" xfId="0" applyFont="1" applyFill="1"/>
    <xf numFmtId="169" fontId="57" fillId="0" borderId="1" xfId="0" applyNumberFormat="1" applyFont="1" applyFill="1" applyBorder="1" applyAlignment="1">
      <alignment horizontal="center" vertical="center"/>
    </xf>
    <xf numFmtId="169" fontId="57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/>
    <xf numFmtId="4" fontId="75" fillId="3" borderId="1" xfId="0" applyNumberFormat="1" applyFont="1" applyFill="1" applyBorder="1" applyAlignment="1">
      <alignment horizontal="right" vertical="center"/>
    </xf>
    <xf numFmtId="164" fontId="73" fillId="3" borderId="1" xfId="0" applyNumberFormat="1" applyFont="1" applyFill="1" applyBorder="1" applyAlignment="1">
      <alignment horizontal="right" vertical="center" indent="1"/>
    </xf>
    <xf numFmtId="4" fontId="73" fillId="3" borderId="1" xfId="0" applyNumberFormat="1" applyFont="1" applyFill="1" applyBorder="1" applyAlignment="1">
      <alignment vertical="center"/>
    </xf>
    <xf numFmtId="4" fontId="101" fillId="0" borderId="0" xfId="0" applyNumberFormat="1" applyFont="1" applyFill="1" applyBorder="1" applyAlignment="1"/>
    <xf numFmtId="4" fontId="101" fillId="0" borderId="0" xfId="0" applyNumberFormat="1" applyFont="1" applyFill="1" applyBorder="1" applyAlignment="1">
      <alignment horizontal="center"/>
    </xf>
    <xf numFmtId="4" fontId="102" fillId="0" borderId="0" xfId="0" applyNumberFormat="1" applyFont="1" applyFill="1" applyBorder="1" applyAlignment="1"/>
    <xf numFmtId="4" fontId="102" fillId="0" borderId="0" xfId="0" applyNumberFormat="1" applyFont="1" applyFill="1" applyBorder="1" applyAlignment="1">
      <alignment wrapText="1"/>
    </xf>
    <xf numFmtId="4" fontId="73" fillId="3" borderId="1" xfId="0" applyNumberFormat="1" applyFont="1" applyFill="1" applyBorder="1" applyAlignment="1"/>
    <xf numFmtId="0" fontId="53" fillId="0" borderId="0" xfId="0" applyFont="1" applyAlignment="1">
      <alignment vertical="center"/>
    </xf>
    <xf numFmtId="0" fontId="73" fillId="0" borderId="0" xfId="0" applyFont="1" applyBorder="1" applyAlignment="1">
      <alignment horizontal="center"/>
    </xf>
    <xf numFmtId="0" fontId="60" fillId="0" borderId="1" xfId="0" applyFont="1" applyBorder="1" applyAlignment="1">
      <alignment horizontal="center" vertical="center"/>
    </xf>
    <xf numFmtId="4" fontId="97" fillId="0" borderId="1" xfId="0" applyNumberFormat="1" applyFont="1" applyBorder="1" applyAlignment="1">
      <alignment horizontal="right" vertical="center"/>
    </xf>
    <xf numFmtId="0" fontId="60" fillId="0" borderId="1" xfId="0" applyFont="1" applyBorder="1" applyAlignment="1">
      <alignment vertical="center"/>
    </xf>
    <xf numFmtId="4" fontId="73" fillId="3" borderId="1" xfId="0" applyNumberFormat="1" applyFont="1" applyFill="1" applyBorder="1" applyAlignment="1">
      <alignment horizontal="right"/>
    </xf>
    <xf numFmtId="4" fontId="73" fillId="3" borderId="4" xfId="0" applyNumberFormat="1" applyFont="1" applyFill="1" applyBorder="1" applyAlignment="1">
      <alignment horizontal="right"/>
    </xf>
    <xf numFmtId="4" fontId="73" fillId="3" borderId="4" xfId="0" applyNumberFormat="1" applyFont="1" applyFill="1" applyBorder="1" applyAlignment="1">
      <alignment horizontal="right" vertical="center"/>
    </xf>
    <xf numFmtId="0" fontId="54" fillId="0" borderId="0" xfId="0" applyFont="1" applyFill="1" applyBorder="1"/>
    <xf numFmtId="0" fontId="55" fillId="0" borderId="0" xfId="0" applyFont="1" applyFill="1" applyBorder="1"/>
    <xf numFmtId="4" fontId="68" fillId="0" borderId="0" xfId="0" applyNumberFormat="1" applyFont="1" applyFill="1" applyBorder="1" applyAlignment="1">
      <alignment vertical="center"/>
    </xf>
    <xf numFmtId="0" fontId="108" fillId="0" borderId="0" xfId="0" applyFont="1" applyFill="1" applyBorder="1" applyAlignment="1">
      <alignment wrapText="1"/>
    </xf>
    <xf numFmtId="0" fontId="55" fillId="0" borderId="0" xfId="0" applyFont="1" applyFill="1" applyBorder="1" applyAlignment="1"/>
    <xf numFmtId="4" fontId="107" fillId="0" borderId="0" xfId="0" applyNumberFormat="1" applyFont="1" applyFill="1" applyBorder="1" applyAlignment="1">
      <alignment vertical="center"/>
    </xf>
    <xf numFmtId="4" fontId="77" fillId="0" borderId="0" xfId="0" applyNumberFormat="1" applyFont="1" applyFill="1" applyBorder="1" applyAlignment="1">
      <alignment vertical="center"/>
    </xf>
    <xf numFmtId="0" fontId="53" fillId="0" borderId="0" xfId="0" applyFont="1" applyFill="1" applyBorder="1" applyAlignment="1">
      <alignment horizontal="center"/>
    </xf>
    <xf numFmtId="4" fontId="77" fillId="0" borderId="0" xfId="0" applyNumberFormat="1" applyFont="1" applyFill="1" applyBorder="1" applyAlignment="1">
      <alignment horizontal="center" vertical="center"/>
    </xf>
    <xf numFmtId="4" fontId="87" fillId="0" borderId="0" xfId="0" applyNumberFormat="1" applyFont="1" applyFill="1" applyBorder="1" applyAlignment="1">
      <alignment vertical="center"/>
    </xf>
    <xf numFmtId="0" fontId="57" fillId="0" borderId="0" xfId="0" applyFont="1" applyFill="1" applyBorder="1" applyAlignment="1">
      <alignment wrapText="1"/>
    </xf>
    <xf numFmtId="0" fontId="76" fillId="0" borderId="0" xfId="0" applyFont="1" applyFill="1" applyBorder="1" applyAlignment="1">
      <alignment wrapText="1"/>
    </xf>
    <xf numFmtId="4" fontId="87" fillId="0" borderId="0" xfId="0" applyNumberFormat="1" applyFont="1" applyFill="1" applyBorder="1" applyAlignment="1">
      <alignment vertical="center" wrapText="1"/>
    </xf>
    <xf numFmtId="4" fontId="68" fillId="0" borderId="0" xfId="0" applyNumberFormat="1" applyFont="1" applyAlignment="1">
      <alignment vertical="center"/>
    </xf>
    <xf numFmtId="0" fontId="55" fillId="0" borderId="0" xfId="0" applyFont="1" applyBorder="1" applyAlignment="1">
      <alignment horizontal="center"/>
    </xf>
    <xf numFmtId="0" fontId="81" fillId="0" borderId="1" xfId="0" applyFont="1" applyFill="1" applyBorder="1" applyAlignment="1">
      <alignment horizontal="center" vertical="center" textRotation="90" wrapText="1"/>
    </xf>
    <xf numFmtId="0" fontId="81" fillId="0" borderId="1" xfId="0" applyFont="1" applyFill="1" applyBorder="1" applyAlignment="1">
      <alignment horizontal="center" vertical="center" wrapText="1"/>
    </xf>
    <xf numFmtId="4" fontId="111" fillId="0" borderId="20" xfId="0" applyNumberFormat="1" applyFont="1" applyFill="1" applyBorder="1" applyAlignment="1">
      <alignment horizontal="center" vertical="center" wrapText="1"/>
    </xf>
    <xf numFmtId="49" fontId="112" fillId="0" borderId="1" xfId="3" applyNumberFormat="1" applyFont="1" applyFill="1" applyBorder="1" applyAlignment="1">
      <alignment horizontal="center" vertical="center"/>
    </xf>
    <xf numFmtId="164" fontId="112" fillId="0" borderId="1" xfId="3" applyNumberFormat="1" applyFont="1" applyFill="1" applyBorder="1" applyAlignment="1">
      <alignment horizontal="right" vertical="center"/>
    </xf>
    <xf numFmtId="49" fontId="113" fillId="0" borderId="1" xfId="0" applyNumberFormat="1" applyFont="1" applyFill="1" applyBorder="1" applyAlignment="1">
      <alignment horizontal="center" vertical="center"/>
    </xf>
    <xf numFmtId="49" fontId="105" fillId="0" borderId="1" xfId="3" applyNumberFormat="1" applyFont="1" applyFill="1" applyBorder="1" applyAlignment="1">
      <alignment horizontal="center" vertical="center"/>
    </xf>
    <xf numFmtId="164" fontId="73" fillId="0" borderId="1" xfId="0" applyNumberFormat="1" applyFont="1" applyFill="1" applyBorder="1" applyAlignment="1">
      <alignment horizontal="right" vertical="center"/>
    </xf>
    <xf numFmtId="49" fontId="105" fillId="0" borderId="1" xfId="0" applyNumberFormat="1" applyFont="1" applyFill="1" applyBorder="1" applyAlignment="1">
      <alignment horizontal="center" vertical="center"/>
    </xf>
    <xf numFmtId="49" fontId="69" fillId="0" borderId="1" xfId="0" applyNumberFormat="1" applyFont="1" applyFill="1" applyBorder="1" applyAlignment="1">
      <alignment horizontal="center" vertical="center"/>
    </xf>
    <xf numFmtId="49" fontId="67" fillId="0" borderId="1" xfId="0" applyNumberFormat="1" applyFont="1" applyFill="1" applyBorder="1" applyAlignment="1">
      <alignment horizontal="center" vertical="center"/>
    </xf>
    <xf numFmtId="49" fontId="114" fillId="0" borderId="1" xfId="3" applyNumberFormat="1" applyFont="1" applyFill="1" applyBorder="1" applyAlignment="1">
      <alignment horizontal="center" vertical="center"/>
    </xf>
    <xf numFmtId="164" fontId="57" fillId="0" borderId="1" xfId="3" applyNumberFormat="1" applyFont="1" applyFill="1" applyBorder="1" applyAlignment="1">
      <alignment horizontal="right" vertical="center"/>
    </xf>
    <xf numFmtId="0" fontId="62" fillId="0" borderId="1" xfId="3" applyFont="1" applyFill="1" applyBorder="1" applyAlignment="1">
      <alignment horizontal="left" vertical="center" wrapText="1"/>
    </xf>
    <xf numFmtId="49" fontId="112" fillId="0" borderId="1" xfId="0" applyNumberFormat="1" applyFont="1" applyFill="1" applyBorder="1" applyAlignment="1">
      <alignment horizontal="center" vertical="center"/>
    </xf>
    <xf numFmtId="164" fontId="112" fillId="0" borderId="1" xfId="0" applyNumberFormat="1" applyFont="1" applyFill="1" applyBorder="1" applyAlignment="1">
      <alignment horizontal="right" vertical="center"/>
    </xf>
    <xf numFmtId="0" fontId="113" fillId="0" borderId="1" xfId="0" applyFont="1" applyFill="1" applyBorder="1" applyAlignment="1">
      <alignment horizontal="left" vertical="center" wrapText="1"/>
    </xf>
    <xf numFmtId="49" fontId="57" fillId="0" borderId="1" xfId="3" applyNumberFormat="1" applyFont="1" applyFill="1" applyBorder="1" applyAlignment="1">
      <alignment horizontal="center" vertical="center"/>
    </xf>
    <xf numFmtId="49" fontId="73" fillId="0" borderId="1" xfId="0" applyNumberFormat="1" applyFont="1" applyFill="1" applyBorder="1" applyAlignment="1">
      <alignment horizontal="center" vertical="center"/>
    </xf>
    <xf numFmtId="0" fontId="115" fillId="0" borderId="0" xfId="4" applyFont="1" applyBorder="1" applyAlignment="1">
      <alignment horizontal="left" vertical="center" wrapText="1"/>
    </xf>
    <xf numFmtId="49" fontId="113" fillId="0" borderId="0" xfId="4" applyNumberFormat="1" applyFont="1" applyBorder="1" applyAlignment="1">
      <alignment horizontal="center" vertical="center"/>
    </xf>
    <xf numFmtId="164" fontId="73" fillId="0" borderId="0" xfId="0" applyNumberFormat="1" applyFont="1" applyBorder="1" applyAlignment="1">
      <alignment horizontal="right" vertical="center"/>
    </xf>
    <xf numFmtId="0" fontId="9" fillId="0" borderId="0" xfId="0" applyFont="1" applyFill="1"/>
    <xf numFmtId="4" fontId="9" fillId="0" borderId="0" xfId="0" applyNumberFormat="1" applyFont="1" applyBorder="1" applyAlignment="1">
      <alignment horizontal="right"/>
    </xf>
    <xf numFmtId="4" fontId="87" fillId="0" borderId="20" xfId="0" applyNumberFormat="1" applyFont="1" applyFill="1" applyBorder="1" applyAlignment="1">
      <alignment horizontal="center" vertical="center" wrapText="1"/>
    </xf>
    <xf numFmtId="4" fontId="87" fillId="0" borderId="0" xfId="0" applyNumberFormat="1" applyFont="1" applyFill="1" applyAlignment="1">
      <alignment horizontal="center" vertical="center"/>
    </xf>
    <xf numFmtId="4" fontId="102" fillId="0" borderId="0" xfId="0" applyNumberFormat="1" applyFont="1" applyFill="1" applyBorder="1"/>
    <xf numFmtId="4" fontId="102" fillId="0" borderId="0" xfId="0" applyNumberFormat="1" applyFont="1"/>
    <xf numFmtId="4" fontId="102" fillId="0" borderId="20" xfId="0" applyNumberFormat="1" applyFont="1" applyFill="1" applyBorder="1" applyAlignment="1">
      <alignment horizontal="center" vertical="center" wrapText="1"/>
    </xf>
    <xf numFmtId="4" fontId="116" fillId="0" borderId="0" xfId="0" applyNumberFormat="1" applyFont="1"/>
    <xf numFmtId="4" fontId="116" fillId="0" borderId="0" xfId="0" applyNumberFormat="1" applyFont="1" applyFill="1" applyAlignment="1">
      <alignment horizontal="center"/>
    </xf>
    <xf numFmtId="4" fontId="87" fillId="0" borderId="0" xfId="0" applyNumberFormat="1" applyFont="1" applyFill="1" applyBorder="1"/>
    <xf numFmtId="4" fontId="77" fillId="0" borderId="0" xfId="0" applyNumberFormat="1" applyFont="1" applyFill="1" applyBorder="1" applyAlignment="1"/>
    <xf numFmtId="4" fontId="77" fillId="0" borderId="0" xfId="0" applyNumberFormat="1" applyFont="1" applyFill="1" applyBorder="1" applyAlignment="1">
      <alignment horizontal="center"/>
    </xf>
    <xf numFmtId="4" fontId="87" fillId="0" borderId="0" xfId="0" applyNumberFormat="1" applyFont="1" applyFill="1" applyBorder="1" applyAlignment="1"/>
    <xf numFmtId="4" fontId="87" fillId="0" borderId="0" xfId="0" applyNumberFormat="1" applyFont="1" applyFill="1" applyBorder="1" applyAlignment="1">
      <alignment wrapText="1"/>
    </xf>
    <xf numFmtId="4" fontId="87" fillId="0" borderId="0" xfId="0" applyNumberFormat="1" applyFont="1" applyFill="1" applyAlignment="1">
      <alignment horizontal="center"/>
    </xf>
    <xf numFmtId="4" fontId="68" fillId="0" borderId="0" xfId="0" applyNumberFormat="1" applyFont="1" applyFill="1" applyBorder="1"/>
    <xf numFmtId="4" fontId="107" fillId="0" borderId="0" xfId="0" applyNumberFormat="1" applyFont="1" applyFill="1" applyBorder="1" applyAlignment="1"/>
    <xf numFmtId="4" fontId="68" fillId="0" borderId="0" xfId="0" applyNumberFormat="1" applyFont="1"/>
    <xf numFmtId="4" fontId="68" fillId="0" borderId="0" xfId="0" applyNumberFormat="1" applyFont="1" applyFill="1" applyAlignment="1">
      <alignment horizontal="center"/>
    </xf>
    <xf numFmtId="0" fontId="58" fillId="0" borderId="1" xfId="0" applyFont="1" applyBorder="1" applyAlignment="1">
      <alignment horizontal="right" vertical="center"/>
    </xf>
    <xf numFmtId="0" fontId="57" fillId="0" borderId="1" xfId="0" applyFont="1" applyBorder="1" applyAlignment="1">
      <alignment horizontal="left" vertical="center" wrapText="1" indent="1"/>
    </xf>
    <xf numFmtId="0" fontId="54" fillId="0" borderId="0" xfId="0" applyFont="1" applyFill="1" applyBorder="1" applyAlignment="1"/>
    <xf numFmtId="0" fontId="76" fillId="0" borderId="0" xfId="0" applyFont="1" applyFill="1" applyBorder="1" applyAlignment="1"/>
    <xf numFmtId="4" fontId="87" fillId="0" borderId="20" xfId="0" applyNumberFormat="1" applyFont="1" applyFill="1" applyBorder="1" applyAlignment="1">
      <alignment vertical="center" wrapText="1"/>
    </xf>
    <xf numFmtId="4" fontId="87" fillId="0" borderId="0" xfId="0" applyNumberFormat="1" applyFont="1" applyFill="1" applyAlignment="1">
      <alignment vertical="center"/>
    </xf>
    <xf numFmtId="0" fontId="73" fillId="0" borderId="1" xfId="0" applyFont="1" applyFill="1" applyBorder="1" applyAlignment="1">
      <alignment horizontal="left" vertical="center" wrapText="1"/>
    </xf>
    <xf numFmtId="49" fontId="55" fillId="0" borderId="1" xfId="0" applyNumberFormat="1" applyFont="1" applyBorder="1" applyAlignment="1">
      <alignment horizontal="right" vertical="center"/>
    </xf>
    <xf numFmtId="4" fontId="111" fillId="0" borderId="20" xfId="0" applyNumberFormat="1" applyFont="1" applyFill="1" applyBorder="1" applyAlignment="1">
      <alignment vertical="center" wrapText="1"/>
    </xf>
    <xf numFmtId="4" fontId="68" fillId="0" borderId="0" xfId="0" applyNumberFormat="1" applyFont="1" applyFill="1" applyAlignment="1">
      <alignment vertical="center"/>
    </xf>
    <xf numFmtId="0" fontId="68" fillId="0" borderId="0" xfId="0" applyFont="1" applyFill="1" applyBorder="1" applyAlignment="1">
      <alignment vertical="center"/>
    </xf>
    <xf numFmtId="0" fontId="107" fillId="0" borderId="0" xfId="0" applyFont="1" applyFill="1" applyBorder="1" applyAlignment="1">
      <alignment vertical="center"/>
    </xf>
    <xf numFmtId="0" fontId="77" fillId="0" borderId="0" xfId="0" applyFont="1" applyFill="1" applyBorder="1" applyAlignment="1">
      <alignment vertical="center"/>
    </xf>
    <xf numFmtId="0" fontId="87" fillId="0" borderId="0" xfId="0" applyFont="1" applyFill="1" applyBorder="1" applyAlignment="1">
      <alignment vertical="center"/>
    </xf>
    <xf numFmtId="0" fontId="87" fillId="0" borderId="0" xfId="0" applyFont="1" applyFill="1" applyBorder="1" applyAlignment="1">
      <alignment vertical="center" wrapText="1"/>
    </xf>
    <xf numFmtId="0" fontId="68" fillId="0" borderId="0" xfId="0" applyFont="1" applyAlignment="1">
      <alignment vertical="center"/>
    </xf>
    <xf numFmtId="0" fontId="87" fillId="0" borderId="20" xfId="0" applyFont="1" applyFill="1" applyBorder="1" applyAlignment="1">
      <alignment vertical="center" wrapText="1"/>
    </xf>
    <xf numFmtId="0" fontId="109" fillId="0" borderId="0" xfId="0" applyFont="1" applyFill="1" applyBorder="1" applyAlignment="1"/>
    <xf numFmtId="0" fontId="76" fillId="0" borderId="0" xfId="0" applyFont="1" applyFill="1" applyBorder="1" applyAlignment="1">
      <alignment horizontal="center"/>
    </xf>
    <xf numFmtId="0" fontId="53" fillId="0" borderId="0" xfId="0" applyFont="1"/>
    <xf numFmtId="4" fontId="77" fillId="0" borderId="0" xfId="0" applyNumberFormat="1" applyFont="1" applyAlignment="1">
      <alignment vertical="center"/>
    </xf>
    <xf numFmtId="164" fontId="23" fillId="0" borderId="0" xfId="5" applyNumberFormat="1" applyFont="1" applyFill="1"/>
    <xf numFmtId="0" fontId="70" fillId="0" borderId="20" xfId="0" applyFont="1" applyBorder="1" applyAlignment="1">
      <alignment vertical="center" wrapText="1"/>
    </xf>
    <xf numFmtId="0" fontId="70" fillId="0" borderId="0" xfId="0" applyFont="1" applyAlignment="1">
      <alignment vertical="center" wrapText="1"/>
    </xf>
    <xf numFmtId="49" fontId="90" fillId="0" borderId="0" xfId="0" applyNumberFormat="1" applyFont="1" applyBorder="1" applyAlignment="1">
      <alignment wrapText="1"/>
    </xf>
    <xf numFmtId="49" fontId="90" fillId="0" borderId="14" xfId="0" applyNumberFormat="1" applyFont="1" applyBorder="1" applyAlignment="1">
      <alignment wrapText="1"/>
    </xf>
    <xf numFmtId="164" fontId="23" fillId="4" borderId="0" xfId="0" applyNumberFormat="1" applyFont="1" applyFill="1"/>
    <xf numFmtId="167" fontId="23" fillId="0" borderId="0" xfId="0" applyNumberFormat="1" applyFont="1"/>
    <xf numFmtId="0" fontId="8" fillId="0" borderId="0" xfId="0" applyFont="1"/>
    <xf numFmtId="170" fontId="117" fillId="0" borderId="1" xfId="0" applyNumberFormat="1" applyFont="1" applyBorder="1" applyAlignment="1">
      <alignment horizontal="right" vertical="center" indent="1"/>
    </xf>
    <xf numFmtId="164" fontId="74" fillId="5" borderId="1" xfId="0" applyNumberFormat="1" applyFont="1" applyFill="1" applyBorder="1" applyAlignment="1">
      <alignment vertical="center"/>
    </xf>
    <xf numFmtId="164" fontId="74" fillId="0" borderId="1" xfId="0" applyNumberFormat="1" applyFont="1" applyBorder="1" applyAlignment="1">
      <alignment vertical="center"/>
    </xf>
    <xf numFmtId="164" fontId="75" fillId="4" borderId="1" xfId="0" applyNumberFormat="1" applyFont="1" applyFill="1" applyBorder="1" applyAlignment="1">
      <alignment vertical="center"/>
    </xf>
    <xf numFmtId="164" fontId="75" fillId="0" borderId="1" xfId="0" applyNumberFormat="1" applyFont="1" applyFill="1" applyBorder="1" applyAlignment="1">
      <alignment vertical="center"/>
    </xf>
    <xf numFmtId="4" fontId="68" fillId="0" borderId="1" xfId="0" applyNumberFormat="1" applyFont="1" applyBorder="1" applyAlignment="1">
      <alignment horizontal="right" vertical="center"/>
    </xf>
    <xf numFmtId="4" fontId="87" fillId="0" borderId="0" xfId="0" applyNumberFormat="1" applyFont="1" applyBorder="1" applyAlignment="1">
      <alignment vertical="center" wrapText="1"/>
    </xf>
    <xf numFmtId="4" fontId="60" fillId="0" borderId="1" xfId="0" applyNumberFormat="1" applyFont="1" applyBorder="1"/>
    <xf numFmtId="0" fontId="118" fillId="0" borderId="0" xfId="0" applyFont="1"/>
    <xf numFmtId="167" fontId="118" fillId="0" borderId="0" xfId="0" applyNumberFormat="1" applyFont="1" applyBorder="1" applyAlignment="1">
      <alignment horizontal="right" indent="1"/>
    </xf>
    <xf numFmtId="164" fontId="118" fillId="0" borderId="0" xfId="0" applyNumberFormat="1" applyFont="1" applyBorder="1" applyAlignment="1">
      <alignment horizontal="right" indent="1"/>
    </xf>
    <xf numFmtId="0" fontId="118" fillId="0" borderId="0" xfId="0" applyFont="1" applyAlignment="1">
      <alignment wrapText="1"/>
    </xf>
    <xf numFmtId="0" fontId="119" fillId="0" borderId="0" xfId="0" applyFont="1"/>
    <xf numFmtId="4" fontId="120" fillId="0" borderId="0" xfId="0" applyNumberFormat="1" applyFont="1" applyBorder="1"/>
    <xf numFmtId="167" fontId="120" fillId="0" borderId="0" xfId="0" applyNumberFormat="1" applyFont="1" applyBorder="1" applyAlignment="1">
      <alignment horizontal="right" indent="1"/>
    </xf>
    <xf numFmtId="0" fontId="120" fillId="0" borderId="0" xfId="0" applyFont="1"/>
    <xf numFmtId="164" fontId="120" fillId="0" borderId="0" xfId="0" applyNumberFormat="1" applyFont="1" applyBorder="1" applyAlignment="1">
      <alignment horizontal="right" indent="1"/>
    </xf>
    <xf numFmtId="0" fontId="120" fillId="0" borderId="0" xfId="0" applyFont="1" applyAlignment="1">
      <alignment wrapText="1"/>
    </xf>
    <xf numFmtId="0" fontId="121" fillId="0" borderId="0" xfId="0" applyFont="1"/>
    <xf numFmtId="0" fontId="34" fillId="0" borderId="1" xfId="3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 wrapText="1" indent="1"/>
    </xf>
    <xf numFmtId="2" fontId="20" fillId="0" borderId="0" xfId="0" applyNumberFormat="1" applyFont="1"/>
    <xf numFmtId="0" fontId="7" fillId="0" borderId="0" xfId="0" applyFont="1" applyAlignment="1">
      <alignment horizontal="center"/>
    </xf>
    <xf numFmtId="0" fontId="122" fillId="0" borderId="0" xfId="5" applyFont="1" applyAlignment="1">
      <alignment vertical="center"/>
    </xf>
    <xf numFmtId="4" fontId="74" fillId="0" borderId="10" xfId="0" applyNumberFormat="1" applyFont="1" applyBorder="1" applyAlignment="1">
      <alignment horizontal="right" vertical="center"/>
    </xf>
    <xf numFmtId="0" fontId="24" fillId="0" borderId="0" xfId="0" applyFont="1" applyFill="1"/>
    <xf numFmtId="4" fontId="29" fillId="0" borderId="0" xfId="0" applyNumberFormat="1" applyFont="1" applyFill="1" applyAlignment="1">
      <alignment vertical="center"/>
    </xf>
    <xf numFmtId="0" fontId="29" fillId="0" borderId="0" xfId="0" applyFont="1" applyAlignment="1">
      <alignment vertical="center"/>
    </xf>
    <xf numFmtId="0" fontId="60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68" fillId="0" borderId="0" xfId="0" applyNumberFormat="1" applyFont="1" applyBorder="1" applyAlignment="1">
      <alignment horizontal="right" vertical="center"/>
    </xf>
    <xf numFmtId="165" fontId="74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169" fontId="57" fillId="0" borderId="5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Alignment="1">
      <alignment vertical="center" wrapText="1"/>
    </xf>
    <xf numFmtId="0" fontId="29" fillId="0" borderId="0" xfId="5" applyNumberFormat="1" applyFont="1" applyFill="1" applyAlignment="1">
      <alignment horizontal="right"/>
    </xf>
    <xf numFmtId="164" fontId="34" fillId="0" borderId="0" xfId="5" applyNumberFormat="1" applyFont="1" applyFill="1" applyAlignment="1">
      <alignment vertical="center" wrapText="1"/>
    </xf>
    <xf numFmtId="0" fontId="68" fillId="0" borderId="0" xfId="0" applyFont="1" applyFill="1" applyAlignment="1">
      <alignment vertical="center"/>
    </xf>
    <xf numFmtId="4" fontId="67" fillId="0" borderId="0" xfId="0" applyNumberFormat="1" applyFont="1" applyAlignment="1">
      <alignment vertical="center"/>
    </xf>
    <xf numFmtId="0" fontId="87" fillId="0" borderId="0" xfId="0" applyFont="1" applyFill="1"/>
    <xf numFmtId="0" fontId="87" fillId="0" borderId="0" xfId="0" applyFont="1" applyFill="1" applyAlignment="1">
      <alignment vertical="center"/>
    </xf>
    <xf numFmtId="165" fontId="67" fillId="0" borderId="0" xfId="0" applyNumberFormat="1" applyFont="1" applyFill="1" applyAlignment="1">
      <alignment vertical="center"/>
    </xf>
    <xf numFmtId="49" fontId="87" fillId="0" borderId="0" xfId="0" applyNumberFormat="1" applyFont="1" applyFill="1" applyAlignment="1">
      <alignment vertical="center"/>
    </xf>
    <xf numFmtId="0" fontId="23" fillId="0" borderId="0" xfId="5" applyFont="1" applyAlignment="1">
      <alignment horizontal="left" vertical="center" wrapText="1"/>
    </xf>
    <xf numFmtId="49" fontId="23" fillId="0" borderId="0" xfId="5" applyNumberFormat="1" applyFont="1" applyFill="1" applyAlignment="1">
      <alignment horizontal="left" vertical="center" wrapText="1"/>
    </xf>
    <xf numFmtId="0" fontId="68" fillId="0" borderId="0" xfId="0" applyFont="1" applyFill="1" applyAlignment="1">
      <alignment horizontal="right" vertical="center"/>
    </xf>
    <xf numFmtId="164" fontId="67" fillId="0" borderId="0" xfId="0" applyNumberFormat="1" applyFont="1" applyAlignment="1">
      <alignment vertical="center"/>
    </xf>
    <xf numFmtId="164" fontId="87" fillId="0" borderId="0" xfId="0" applyNumberFormat="1" applyFont="1" applyFill="1" applyAlignment="1">
      <alignment vertical="center"/>
    </xf>
    <xf numFmtId="0" fontId="24" fillId="0" borderId="0" xfId="5" applyFont="1" applyAlignment="1">
      <alignment horizontal="right" vertical="center" wrapText="1"/>
    </xf>
    <xf numFmtId="0" fontId="23" fillId="0" borderId="0" xfId="5" applyFont="1" applyFill="1" applyAlignment="1">
      <alignment vertical="center"/>
    </xf>
    <xf numFmtId="0" fontId="55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vertical="center"/>
    </xf>
    <xf numFmtId="164" fontId="20" fillId="0" borderId="0" xfId="0" applyNumberFormat="1" applyFont="1" applyFill="1"/>
    <xf numFmtId="4" fontId="74" fillId="0" borderId="5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4" fontId="61" fillId="0" borderId="1" xfId="0" applyNumberFormat="1" applyFont="1" applyFill="1" applyBorder="1" applyAlignment="1">
      <alignment horizontal="right" vertical="center"/>
    </xf>
    <xf numFmtId="4" fontId="74" fillId="0" borderId="0" xfId="0" applyNumberFormat="1" applyFont="1" applyFill="1" applyAlignment="1">
      <alignment vertical="center"/>
    </xf>
    <xf numFmtId="4" fontId="73" fillId="0" borderId="1" xfId="0" applyNumberFormat="1" applyFont="1" applyFill="1" applyBorder="1" applyAlignment="1">
      <alignment horizontal="center" vertical="center" wrapText="1"/>
    </xf>
    <xf numFmtId="4" fontId="74" fillId="0" borderId="1" xfId="0" applyNumberFormat="1" applyFont="1" applyFill="1" applyBorder="1" applyAlignment="1">
      <alignment horizontal="right" vertical="center" indent="1"/>
    </xf>
    <xf numFmtId="4" fontId="74" fillId="0" borderId="10" xfId="0" applyNumberFormat="1" applyFont="1" applyFill="1" applyBorder="1" applyAlignment="1">
      <alignment horizontal="right" vertical="center"/>
    </xf>
    <xf numFmtId="165" fontId="74" fillId="0" borderId="10" xfId="0" applyNumberFormat="1" applyFont="1" applyFill="1" applyBorder="1" applyAlignment="1">
      <alignment horizontal="right" vertical="center"/>
    </xf>
    <xf numFmtId="0" fontId="110" fillId="3" borderId="7" xfId="0" applyFont="1" applyFill="1" applyBorder="1" applyAlignment="1">
      <alignment horizontal="right"/>
    </xf>
    <xf numFmtId="0" fontId="110" fillId="3" borderId="9" xfId="0" applyFont="1" applyFill="1" applyBorder="1" applyAlignment="1">
      <alignment horizontal="right"/>
    </xf>
    <xf numFmtId="4" fontId="67" fillId="0" borderId="1" xfId="0" applyNumberFormat="1" applyFont="1" applyBorder="1" applyAlignment="1">
      <alignment vertical="center"/>
    </xf>
    <xf numFmtId="0" fontId="3" fillId="0" borderId="0" xfId="0" applyFont="1"/>
    <xf numFmtId="0" fontId="53" fillId="0" borderId="0" xfId="0" applyFont="1" applyAlignment="1">
      <alignment horizontal="right"/>
    </xf>
    <xf numFmtId="4" fontId="53" fillId="0" borderId="0" xfId="0" applyNumberFormat="1" applyFont="1"/>
    <xf numFmtId="0" fontId="87" fillId="0" borderId="0" xfId="0" applyFont="1" applyAlignment="1">
      <alignment horizontal="right"/>
    </xf>
    <xf numFmtId="2" fontId="3" fillId="0" borderId="0" xfId="0" applyNumberFormat="1" applyFont="1"/>
    <xf numFmtId="4" fontId="3" fillId="0" borderId="0" xfId="0" applyNumberFormat="1" applyFont="1"/>
    <xf numFmtId="165" fontId="24" fillId="0" borderId="1" xfId="5" applyNumberFormat="1" applyFont="1" applyBorder="1" applyAlignment="1">
      <alignment horizontal="left" vertical="center" wrapText="1"/>
    </xf>
    <xf numFmtId="164" fontId="23" fillId="11" borderId="1" xfId="5" applyNumberFormat="1" applyFont="1" applyFill="1" applyBorder="1" applyAlignment="1">
      <alignment horizontal="right" vertical="center"/>
    </xf>
    <xf numFmtId="0" fontId="23" fillId="9" borderId="1" xfId="5" applyFont="1" applyFill="1" applyBorder="1" applyAlignment="1">
      <alignment horizontal="left" vertical="center" wrapText="1"/>
    </xf>
    <xf numFmtId="0" fontId="23" fillId="9" borderId="1" xfId="5" applyFont="1" applyFill="1" applyBorder="1" applyAlignment="1">
      <alignment horizontal="center" vertical="center" wrapText="1"/>
    </xf>
    <xf numFmtId="49" fontId="23" fillId="9" borderId="1" xfId="5" applyNumberFormat="1" applyFont="1" applyFill="1" applyBorder="1" applyAlignment="1">
      <alignment horizontal="center" vertical="center"/>
    </xf>
    <xf numFmtId="164" fontId="23" fillId="9" borderId="1" xfId="5" applyNumberFormat="1" applyFont="1" applyFill="1" applyBorder="1" applyAlignment="1">
      <alignment horizontal="right" vertical="center"/>
    </xf>
    <xf numFmtId="0" fontId="23" fillId="9" borderId="1" xfId="0" applyFont="1" applyFill="1" applyBorder="1" applyAlignment="1">
      <alignment horizontal="left" vertical="center" wrapText="1"/>
    </xf>
    <xf numFmtId="49" fontId="23" fillId="0" borderId="0" xfId="5" applyNumberFormat="1" applyFont="1" applyFill="1" applyAlignment="1">
      <alignment vertical="center"/>
    </xf>
    <xf numFmtId="164" fontId="33" fillId="0" borderId="0" xfId="5" applyNumberFormat="1" applyFont="1" applyFill="1" applyAlignment="1">
      <alignment vertical="center" wrapText="1"/>
    </xf>
    <xf numFmtId="164" fontId="23" fillId="0" borderId="0" xfId="5" applyNumberFormat="1" applyFont="1" applyFill="1" applyAlignment="1">
      <alignment vertical="center" wrapText="1"/>
    </xf>
    <xf numFmtId="164" fontId="23" fillId="0" borderId="0" xfId="5" applyNumberFormat="1" applyFont="1" applyFill="1" applyAlignment="1">
      <alignment vertical="center"/>
    </xf>
    <xf numFmtId="164" fontId="33" fillId="0" borderId="0" xfId="5" applyNumberFormat="1" applyFont="1" applyFill="1" applyAlignment="1"/>
    <xf numFmtId="164" fontId="33" fillId="0" borderId="0" xfId="5" applyNumberFormat="1" applyFont="1" applyFill="1" applyAlignment="1">
      <alignment horizontal="center" vertical="top"/>
    </xf>
    <xf numFmtId="164" fontId="23" fillId="0" borderId="0" xfId="5" applyNumberFormat="1" applyFont="1" applyFill="1" applyAlignment="1">
      <alignment horizontal="left" vertical="center"/>
    </xf>
    <xf numFmtId="164" fontId="33" fillId="0" borderId="0" xfId="5" applyNumberFormat="1" applyFont="1" applyFill="1" applyAlignment="1">
      <alignment horizontal="center"/>
    </xf>
    <xf numFmtId="164" fontId="23" fillId="0" borderId="0" xfId="5" applyNumberFormat="1" applyFont="1" applyAlignment="1">
      <alignment vertical="center" wrapText="1"/>
    </xf>
    <xf numFmtId="164" fontId="23" fillId="0" borderId="0" xfId="5" applyNumberFormat="1" applyFont="1" applyAlignment="1">
      <alignment horizontal="left" vertical="center" wrapText="1"/>
    </xf>
    <xf numFmtId="167" fontId="119" fillId="0" borderId="0" xfId="0" applyNumberFormat="1" applyFont="1"/>
    <xf numFmtId="167" fontId="121" fillId="0" borderId="0" xfId="0" applyNumberFormat="1" applyFont="1"/>
    <xf numFmtId="0" fontId="30" fillId="0" borderId="1" xfId="5" applyFont="1" applyFill="1" applyBorder="1" applyAlignment="1">
      <alignment horizontal="left" vertical="center"/>
    </xf>
    <xf numFmtId="167" fontId="23" fillId="0" borderId="0" xfId="0" applyNumberFormat="1" applyFont="1" applyBorder="1" applyAlignment="1">
      <alignment vertical="center"/>
    </xf>
    <xf numFmtId="49" fontId="55" fillId="0" borderId="14" xfId="0" applyNumberFormat="1" applyFont="1" applyFill="1" applyBorder="1" applyAlignment="1">
      <alignment vertical="center" wrapText="1"/>
    </xf>
    <xf numFmtId="164" fontId="55" fillId="0" borderId="0" xfId="0" applyNumberFormat="1" applyFont="1" applyFill="1" applyBorder="1" applyAlignment="1">
      <alignment horizontal="left" vertical="top"/>
    </xf>
    <xf numFmtId="0" fontId="2" fillId="0" borderId="0" xfId="0" applyFont="1"/>
    <xf numFmtId="4" fontId="23" fillId="0" borderId="0" xfId="5" applyNumberFormat="1" applyFont="1" applyFill="1" applyAlignment="1">
      <alignment vertical="center" wrapText="1"/>
    </xf>
    <xf numFmtId="164" fontId="23" fillId="4" borderId="1" xfId="5" applyNumberFormat="1" applyFont="1" applyFill="1" applyBorder="1" applyAlignment="1">
      <alignment horizontal="right" vertical="center" wrapText="1"/>
    </xf>
    <xf numFmtId="164" fontId="23" fillId="4" borderId="1" xfId="5" applyNumberFormat="1" applyFont="1" applyFill="1" applyBorder="1" applyAlignment="1">
      <alignment horizontal="right" vertical="center"/>
    </xf>
    <xf numFmtId="164" fontId="24" fillId="4" borderId="1" xfId="5" applyNumberFormat="1" applyFont="1" applyFill="1" applyBorder="1" applyAlignment="1">
      <alignment horizontal="right" vertical="center"/>
    </xf>
    <xf numFmtId="164" fontId="24" fillId="4" borderId="1" xfId="5" applyNumberFormat="1" applyFont="1" applyFill="1" applyBorder="1" applyAlignment="1">
      <alignment horizontal="right" vertical="center" wrapText="1"/>
    </xf>
    <xf numFmtId="0" fontId="1" fillId="0" borderId="0" xfId="0" applyFont="1"/>
    <xf numFmtId="0" fontId="74" fillId="4" borderId="1" xfId="0" applyFont="1" applyFill="1" applyBorder="1" applyAlignment="1">
      <alignment horizontal="left" vertical="center" wrapText="1"/>
    </xf>
    <xf numFmtId="49" fontId="69" fillId="4" borderId="1" xfId="0" applyNumberFormat="1" applyFont="1" applyFill="1" applyBorder="1" applyAlignment="1">
      <alignment horizontal="center" vertical="center"/>
    </xf>
    <xf numFmtId="1" fontId="74" fillId="4" borderId="1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24" fillId="0" borderId="0" xfId="0" applyFont="1" applyAlignment="1">
      <alignment horizontal="right" vertical="center" wrapText="1"/>
    </xf>
    <xf numFmtId="0" fontId="26" fillId="0" borderId="0" xfId="6" applyFont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6" applyFont="1" applyBorder="1" applyAlignment="1">
      <alignment horizontal="center" vertical="center" wrapText="1"/>
    </xf>
    <xf numFmtId="0" fontId="23" fillId="0" borderId="14" xfId="0" applyFont="1" applyBorder="1" applyAlignment="1">
      <alignment horizontal="left"/>
    </xf>
    <xf numFmtId="0" fontId="23" fillId="0" borderId="1" xfId="5" applyFont="1" applyBorder="1" applyAlignment="1">
      <alignment horizontal="center" vertical="center" textRotation="90"/>
    </xf>
    <xf numFmtId="0" fontId="23" fillId="0" borderId="1" xfId="5" applyFont="1" applyBorder="1" applyAlignment="1">
      <alignment horizontal="center" vertical="center" textRotation="90" wrapText="1"/>
    </xf>
    <xf numFmtId="0" fontId="23" fillId="0" borderId="1" xfId="5" applyFont="1" applyBorder="1" applyAlignment="1">
      <alignment horizontal="center" vertical="center" wrapText="1"/>
    </xf>
    <xf numFmtId="4" fontId="38" fillId="0" borderId="0" xfId="0" applyNumberFormat="1" applyFont="1" applyFill="1"/>
    <xf numFmtId="0" fontId="24" fillId="0" borderId="0" xfId="5" applyFont="1" applyAlignment="1">
      <alignment horizontal="right" vertical="center" wrapText="1"/>
    </xf>
    <xf numFmtId="0" fontId="26" fillId="0" borderId="0" xfId="5" applyFont="1" applyAlignment="1">
      <alignment horizontal="center" vertical="center" wrapText="1"/>
    </xf>
    <xf numFmtId="0" fontId="23" fillId="0" borderId="14" xfId="5" applyFont="1" applyBorder="1" applyAlignment="1">
      <alignment horizontal="left"/>
    </xf>
    <xf numFmtId="0" fontId="29" fillId="0" borderId="1" xfId="6" applyFont="1" applyFill="1" applyBorder="1" applyAlignment="1">
      <alignment horizontal="center" vertical="center" wrapText="1"/>
    </xf>
    <xf numFmtId="0" fontId="23" fillId="0" borderId="1" xfId="5" applyFont="1" applyBorder="1" applyAlignment="1">
      <alignment horizontal="center" vertical="center"/>
    </xf>
    <xf numFmtId="0" fontId="24" fillId="0" borderId="0" xfId="0" applyFont="1" applyAlignment="1">
      <alignment horizontal="right" wrapText="1"/>
    </xf>
    <xf numFmtId="0" fontId="26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55" fillId="0" borderId="5" xfId="0" applyFont="1" applyBorder="1" applyAlignment="1">
      <alignment vertical="center" wrapText="1"/>
    </xf>
    <xf numFmtId="0" fontId="55" fillId="0" borderId="4" xfId="0" applyFont="1" applyBorder="1" applyAlignment="1">
      <alignment vertical="center" wrapText="1"/>
    </xf>
    <xf numFmtId="0" fontId="88" fillId="0" borderId="1" xfId="0" applyFont="1" applyBorder="1" applyAlignment="1">
      <alignment horizontal="center"/>
    </xf>
    <xf numFmtId="49" fontId="54" fillId="0" borderId="0" xfId="0" applyNumberFormat="1" applyFont="1" applyFill="1" applyBorder="1" applyAlignment="1">
      <alignment horizontal="left" vertical="center" wrapText="1"/>
    </xf>
    <xf numFmtId="0" fontId="79" fillId="0" borderId="1" xfId="0" applyFont="1" applyBorder="1" applyAlignment="1">
      <alignment horizontal="center" vertical="center" wrapText="1"/>
    </xf>
    <xf numFmtId="0" fontId="79" fillId="0" borderId="5" xfId="0" applyFont="1" applyBorder="1" applyAlignment="1">
      <alignment horizontal="center" vertical="center"/>
    </xf>
    <xf numFmtId="49" fontId="90" fillId="0" borderId="0" xfId="0" applyNumberFormat="1" applyFont="1" applyBorder="1" applyAlignment="1">
      <alignment horizontal="center" vertical="center" wrapText="1"/>
    </xf>
    <xf numFmtId="0" fontId="91" fillId="0" borderId="14" xfId="0" applyFont="1" applyBorder="1" applyAlignment="1">
      <alignment horizontal="center"/>
    </xf>
    <xf numFmtId="0" fontId="79" fillId="0" borderId="1" xfId="0" applyFont="1" applyBorder="1" applyAlignment="1">
      <alignment horizontal="center" vertical="center"/>
    </xf>
    <xf numFmtId="49" fontId="90" fillId="0" borderId="14" xfId="0" applyNumberFormat="1" applyFont="1" applyBorder="1" applyAlignment="1">
      <alignment horizontal="center" wrapText="1"/>
    </xf>
    <xf numFmtId="0" fontId="79" fillId="0" borderId="1" xfId="0" applyFont="1" applyBorder="1" applyAlignment="1">
      <alignment horizontal="left" vertical="center" wrapText="1" indent="1"/>
    </xf>
    <xf numFmtId="49" fontId="55" fillId="0" borderId="5" xfId="0" applyNumberFormat="1" applyFont="1" applyBorder="1" applyAlignment="1">
      <alignment horizontal="right" vertical="center" wrapText="1"/>
    </xf>
    <xf numFmtId="49" fontId="55" fillId="0" borderId="6" xfId="0" applyNumberFormat="1" applyFont="1" applyBorder="1" applyAlignment="1">
      <alignment horizontal="right" vertical="center" wrapText="1"/>
    </xf>
    <xf numFmtId="0" fontId="79" fillId="0" borderId="10" xfId="0" applyFont="1" applyBorder="1" applyAlignment="1">
      <alignment horizontal="center" vertical="center" wrapText="1"/>
    </xf>
    <xf numFmtId="0" fontId="79" fillId="0" borderId="26" xfId="0" applyFont="1" applyBorder="1" applyAlignment="1">
      <alignment horizontal="center" vertical="center" wrapText="1"/>
    </xf>
    <xf numFmtId="0" fontId="79" fillId="0" borderId="2" xfId="0" applyFont="1" applyBorder="1" applyAlignment="1">
      <alignment horizontal="center" vertical="center" wrapText="1"/>
    </xf>
    <xf numFmtId="0" fontId="58" fillId="0" borderId="0" xfId="6" applyFont="1" applyBorder="1" applyAlignment="1">
      <alignment horizontal="center" vertical="center" wrapText="1"/>
    </xf>
    <xf numFmtId="0" fontId="63" fillId="0" borderId="0" xfId="6" applyFont="1" applyAlignment="1">
      <alignment horizontal="center" vertical="center" wrapText="1"/>
    </xf>
    <xf numFmtId="164" fontId="55" fillId="0" borderId="1" xfId="0" applyNumberFormat="1" applyFont="1" applyFill="1" applyBorder="1" applyAlignment="1">
      <alignment horizontal="right" vertical="center" wrapText="1"/>
    </xf>
    <xf numFmtId="0" fontId="55" fillId="0" borderId="0" xfId="0" applyFont="1" applyAlignment="1">
      <alignment horizontal="center" vertical="center" wrapText="1"/>
    </xf>
    <xf numFmtId="164" fontId="54" fillId="0" borderId="0" xfId="0" applyNumberFormat="1" applyFont="1" applyFill="1" applyBorder="1" applyAlignment="1">
      <alignment horizontal="left" vertical="center"/>
    </xf>
    <xf numFmtId="49" fontId="96" fillId="0" borderId="14" xfId="0" applyNumberFormat="1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49" fontId="90" fillId="0" borderId="14" xfId="0" applyNumberFormat="1" applyFont="1" applyFill="1" applyBorder="1" applyAlignment="1">
      <alignment horizontal="center" vertical="center" wrapText="1"/>
    </xf>
    <xf numFmtId="4" fontId="54" fillId="0" borderId="10" xfId="0" applyNumberFormat="1" applyFont="1" applyBorder="1" applyAlignment="1">
      <alignment horizontal="right" vertical="center" wrapText="1"/>
    </xf>
    <xf numFmtId="4" fontId="54" fillId="0" borderId="2" xfId="0" applyNumberFormat="1" applyFont="1" applyBorder="1" applyAlignment="1">
      <alignment horizontal="right" vertical="center" wrapText="1"/>
    </xf>
    <xf numFmtId="0" fontId="54" fillId="0" borderId="1" xfId="0" applyFont="1" applyFill="1" applyBorder="1" applyAlignment="1">
      <alignment horizontal="center" vertical="center" wrapText="1"/>
    </xf>
    <xf numFmtId="165" fontId="55" fillId="0" borderId="1" xfId="0" applyNumberFormat="1" applyFont="1" applyBorder="1" applyAlignment="1">
      <alignment horizontal="center" vertical="center" wrapText="1"/>
    </xf>
    <xf numFmtId="0" fontId="55" fillId="0" borderId="1" xfId="0" applyFont="1" applyBorder="1"/>
    <xf numFmtId="0" fontId="79" fillId="0" borderId="10" xfId="0" applyFont="1" applyBorder="1" applyAlignment="1">
      <alignment horizontal="center" vertical="center"/>
    </xf>
    <xf numFmtId="0" fontId="79" fillId="0" borderId="2" xfId="0" applyFont="1" applyBorder="1" applyAlignment="1">
      <alignment horizontal="center" vertical="center"/>
    </xf>
    <xf numFmtId="4" fontId="55" fillId="0" borderId="10" xfId="0" applyNumberFormat="1" applyFont="1" applyBorder="1" applyAlignment="1">
      <alignment horizontal="right" vertical="center" wrapText="1"/>
    </xf>
    <xf numFmtId="4" fontId="55" fillId="0" borderId="2" xfId="0" applyNumberFormat="1" applyFont="1" applyBorder="1" applyAlignment="1">
      <alignment horizontal="right" vertical="center" wrapText="1"/>
    </xf>
    <xf numFmtId="0" fontId="55" fillId="0" borderId="0" xfId="0" applyFont="1" applyAlignment="1">
      <alignment horizontal="left" wrapText="1"/>
    </xf>
    <xf numFmtId="0" fontId="54" fillId="0" borderId="0" xfId="0" applyFont="1" applyBorder="1" applyAlignment="1">
      <alignment horizontal="left" vertical="center"/>
    </xf>
    <xf numFmtId="49" fontId="54" fillId="0" borderId="0" xfId="0" applyNumberFormat="1" applyFont="1" applyBorder="1" applyAlignment="1">
      <alignment horizontal="left" vertical="center" wrapText="1"/>
    </xf>
    <xf numFmtId="0" fontId="43" fillId="0" borderId="0" xfId="0" applyFont="1" applyAlignment="1">
      <alignment horizontal="left"/>
    </xf>
    <xf numFmtId="0" fontId="79" fillId="0" borderId="26" xfId="0" applyFont="1" applyBorder="1" applyAlignment="1">
      <alignment horizontal="center" vertical="center"/>
    </xf>
    <xf numFmtId="49" fontId="55" fillId="0" borderId="5" xfId="0" applyNumberFormat="1" applyFont="1" applyBorder="1" applyAlignment="1">
      <alignment horizontal="center" vertical="center" wrapText="1"/>
    </xf>
    <xf numFmtId="49" fontId="55" fillId="0" borderId="6" xfId="0" applyNumberFormat="1" applyFont="1" applyBorder="1" applyAlignment="1">
      <alignment horizontal="center" vertical="center" wrapText="1"/>
    </xf>
    <xf numFmtId="49" fontId="55" fillId="0" borderId="4" xfId="0" applyNumberFormat="1" applyFont="1" applyBorder="1" applyAlignment="1">
      <alignment horizontal="center" vertical="center" wrapText="1"/>
    </xf>
    <xf numFmtId="164" fontId="55" fillId="0" borderId="21" xfId="0" applyNumberFormat="1" applyFont="1" applyFill="1" applyBorder="1" applyAlignment="1">
      <alignment horizontal="left" vertical="top"/>
    </xf>
    <xf numFmtId="49" fontId="55" fillId="0" borderId="1" xfId="0" applyNumberFormat="1" applyFont="1" applyBorder="1" applyAlignment="1">
      <alignment horizontal="center" vertical="center" wrapText="1"/>
    </xf>
    <xf numFmtId="49" fontId="68" fillId="0" borderId="1" xfId="0" applyNumberFormat="1" applyFont="1" applyBorder="1" applyAlignment="1">
      <alignment horizontal="center" vertical="center" wrapText="1"/>
    </xf>
    <xf numFmtId="49" fontId="77" fillId="0" borderId="0" xfId="0" applyNumberFormat="1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49" fontId="55" fillId="0" borderId="14" xfId="0" applyNumberFormat="1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right" vertical="center" wrapText="1"/>
    </xf>
    <xf numFmtId="0" fontId="54" fillId="0" borderId="0" xfId="0" applyFont="1" applyFill="1" applyBorder="1" applyAlignment="1">
      <alignment horizontal="center" vertical="center"/>
    </xf>
    <xf numFmtId="0" fontId="109" fillId="0" borderId="0" xfId="0" applyFont="1" applyFill="1" applyBorder="1" applyAlignment="1">
      <alignment horizontal="center" wrapText="1"/>
    </xf>
    <xf numFmtId="0" fontId="58" fillId="0" borderId="0" xfId="0" applyFont="1" applyFill="1" applyBorder="1" applyAlignment="1">
      <alignment horizontal="center" vertical="center"/>
    </xf>
    <xf numFmtId="0" fontId="55" fillId="0" borderId="14" xfId="0" applyFont="1" applyFill="1" applyBorder="1" applyAlignment="1">
      <alignment horizontal="center"/>
    </xf>
    <xf numFmtId="0" fontId="55" fillId="0" borderId="1" xfId="0" applyFont="1" applyBorder="1" applyAlignment="1">
      <alignment horizontal="left" indent="2"/>
    </xf>
    <xf numFmtId="0" fontId="55" fillId="0" borderId="1" xfId="0" applyFont="1" applyBorder="1" applyAlignment="1">
      <alignment horizontal="center"/>
    </xf>
    <xf numFmtId="0" fontId="57" fillId="0" borderId="0" xfId="0" applyFont="1" applyFill="1" applyBorder="1" applyAlignment="1">
      <alignment horizontal="left"/>
    </xf>
    <xf numFmtId="0" fontId="57" fillId="0" borderId="3" xfId="0" applyFont="1" applyFill="1" applyBorder="1" applyAlignment="1">
      <alignment horizontal="left"/>
    </xf>
    <xf numFmtId="0" fontId="53" fillId="0" borderId="0" xfId="0" applyFont="1" applyFill="1" applyBorder="1" applyAlignment="1">
      <alignment horizontal="center" vertical="center"/>
    </xf>
    <xf numFmtId="0" fontId="76" fillId="0" borderId="5" xfId="0" applyFont="1" applyFill="1" applyBorder="1" applyAlignment="1">
      <alignment horizontal="center" wrapText="1"/>
    </xf>
    <xf numFmtId="0" fontId="76" fillId="0" borderId="4" xfId="0" applyFont="1" applyFill="1" applyBorder="1" applyAlignment="1">
      <alignment horizontal="center" wrapText="1"/>
    </xf>
    <xf numFmtId="0" fontId="55" fillId="0" borderId="5" xfId="0" applyFont="1" applyFill="1" applyBorder="1" applyAlignment="1">
      <alignment horizontal="center"/>
    </xf>
    <xf numFmtId="0" fontId="55" fillId="0" borderId="4" xfId="0" applyFont="1" applyFill="1" applyBorder="1" applyAlignment="1">
      <alignment horizontal="center"/>
    </xf>
    <xf numFmtId="0" fontId="82" fillId="0" borderId="1" xfId="0" applyFont="1" applyFill="1" applyBorder="1" applyAlignment="1">
      <alignment horizontal="center" vertical="center" wrapText="1"/>
    </xf>
    <xf numFmtId="0" fontId="55" fillId="0" borderId="5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55" fillId="0" borderId="4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0" fontId="110" fillId="0" borderId="0" xfId="0" applyFont="1" applyFill="1" applyBorder="1" applyAlignment="1">
      <alignment horizontal="left"/>
    </xf>
    <xf numFmtId="0" fontId="110" fillId="0" borderId="3" xfId="0" applyFont="1" applyFill="1" applyBorder="1" applyAlignment="1">
      <alignment horizontal="left"/>
    </xf>
    <xf numFmtId="0" fontId="53" fillId="0" borderId="0" xfId="0" applyFont="1" applyAlignment="1">
      <alignment horizontal="left" vertical="center" wrapText="1"/>
    </xf>
    <xf numFmtId="4" fontId="11" fillId="0" borderId="24" xfId="0" applyNumberFormat="1" applyFont="1" applyBorder="1" applyAlignment="1">
      <alignment horizontal="center" vertical="center"/>
    </xf>
    <xf numFmtId="4" fontId="22" fillId="0" borderId="25" xfId="0" applyNumberFormat="1" applyFont="1" applyBorder="1" applyAlignment="1">
      <alignment horizontal="center" vertical="center"/>
    </xf>
    <xf numFmtId="0" fontId="43" fillId="0" borderId="21" xfId="0" applyFont="1" applyBorder="1" applyAlignment="1">
      <alignment horizontal="center"/>
    </xf>
    <xf numFmtId="0" fontId="57" fillId="0" borderId="14" xfId="0" applyFont="1" applyBorder="1" applyAlignment="1">
      <alignment horizontal="left"/>
    </xf>
    <xf numFmtId="0" fontId="57" fillId="0" borderId="14" xfId="0" applyFont="1" applyBorder="1" applyAlignment="1">
      <alignment horizontal="center"/>
    </xf>
    <xf numFmtId="0" fontId="56" fillId="8" borderId="14" xfId="0" applyFont="1" applyFill="1" applyBorder="1" applyAlignment="1">
      <alignment horizontal="left" vertical="center"/>
    </xf>
    <xf numFmtId="0" fontId="73" fillId="0" borderId="1" xfId="0" applyFont="1" applyBorder="1" applyAlignment="1">
      <alignment horizontal="center" vertical="center"/>
    </xf>
    <xf numFmtId="0" fontId="73" fillId="0" borderId="5" xfId="0" applyFont="1" applyFill="1" applyBorder="1" applyAlignment="1">
      <alignment horizontal="center"/>
    </xf>
    <xf numFmtId="0" fontId="73" fillId="0" borderId="6" xfId="0" applyFont="1" applyFill="1" applyBorder="1" applyAlignment="1">
      <alignment horizontal="center"/>
    </xf>
    <xf numFmtId="0" fontId="56" fillId="8" borderId="0" xfId="0" applyFont="1" applyFill="1" applyBorder="1" applyAlignment="1">
      <alignment horizontal="left" vertical="center"/>
    </xf>
    <xf numFmtId="0" fontId="73" fillId="0" borderId="5" xfId="0" applyFont="1" applyFill="1" applyBorder="1" applyAlignment="1">
      <alignment horizontal="center" vertical="center"/>
    </xf>
    <xf numFmtId="0" fontId="73" fillId="0" borderId="6" xfId="0" applyFont="1" applyFill="1" applyBorder="1" applyAlignment="1">
      <alignment horizontal="center" vertical="center"/>
    </xf>
    <xf numFmtId="0" fontId="59" fillId="0" borderId="21" xfId="0" applyFont="1" applyBorder="1" applyAlignment="1">
      <alignment horizontal="center" vertical="top"/>
    </xf>
    <xf numFmtId="0" fontId="59" fillId="0" borderId="0" xfId="0" applyFont="1" applyAlignment="1">
      <alignment horizontal="center" vertical="top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horizontal="center"/>
    </xf>
    <xf numFmtId="0" fontId="55" fillId="0" borderId="5" xfId="0" applyFont="1" applyBorder="1" applyAlignment="1">
      <alignment horizontal="left" vertical="center" wrapText="1"/>
    </xf>
    <xf numFmtId="0" fontId="55" fillId="0" borderId="4" xfId="0" applyFont="1" applyBorder="1" applyAlignment="1">
      <alignment horizontal="left" vertical="center" wrapText="1"/>
    </xf>
    <xf numFmtId="0" fontId="57" fillId="0" borderId="1" xfId="0" applyFont="1" applyBorder="1" applyAlignment="1">
      <alignment horizontal="center" vertical="center" wrapText="1"/>
    </xf>
    <xf numFmtId="0" fontId="56" fillId="8" borderId="14" xfId="0" applyFont="1" applyFill="1" applyBorder="1" applyAlignment="1">
      <alignment horizontal="left"/>
    </xf>
    <xf numFmtId="0" fontId="58" fillId="0" borderId="1" xfId="0" applyFont="1" applyBorder="1" applyAlignment="1">
      <alignment horizontal="center"/>
    </xf>
    <xf numFmtId="0" fontId="57" fillId="0" borderId="1" xfId="0" applyFont="1" applyBorder="1" applyAlignment="1">
      <alignment horizontal="left" vertical="center" wrapText="1"/>
    </xf>
    <xf numFmtId="0" fontId="73" fillId="0" borderId="1" xfId="0" applyFont="1" applyFill="1" applyBorder="1" applyAlignment="1">
      <alignment horizontal="center"/>
    </xf>
    <xf numFmtId="4" fontId="60" fillId="0" borderId="5" xfId="0" applyNumberFormat="1" applyFont="1" applyBorder="1" applyAlignment="1">
      <alignment horizontal="center" vertical="center"/>
    </xf>
    <xf numFmtId="4" fontId="60" fillId="0" borderId="4" xfId="0" applyNumberFormat="1" applyFont="1" applyBorder="1" applyAlignment="1">
      <alignment horizontal="center" vertical="center"/>
    </xf>
    <xf numFmtId="3" fontId="74" fillId="0" borderId="1" xfId="0" applyNumberFormat="1" applyFont="1" applyBorder="1" applyAlignment="1">
      <alignment horizontal="center" vertical="center"/>
    </xf>
    <xf numFmtId="3" fontId="60" fillId="0" borderId="5" xfId="0" applyNumberFormat="1" applyFont="1" applyBorder="1" applyAlignment="1">
      <alignment horizontal="center" vertical="center"/>
    </xf>
    <xf numFmtId="3" fontId="60" fillId="0" borderId="4" xfId="0" applyNumberFormat="1" applyFont="1" applyBorder="1" applyAlignment="1">
      <alignment horizontal="center" vertical="center"/>
    </xf>
    <xf numFmtId="0" fontId="58" fillId="0" borderId="5" xfId="0" applyFont="1" applyBorder="1" applyAlignment="1">
      <alignment horizontal="center"/>
    </xf>
    <xf numFmtId="0" fontId="58" fillId="0" borderId="4" xfId="0" applyFont="1" applyBorder="1" applyAlignment="1">
      <alignment horizontal="center"/>
    </xf>
    <xf numFmtId="4" fontId="57" fillId="0" borderId="5" xfId="0" applyNumberFormat="1" applyFont="1" applyBorder="1" applyAlignment="1">
      <alignment horizontal="center" vertical="center" wrapText="1"/>
    </xf>
    <xf numFmtId="4" fontId="57" fillId="0" borderId="4" xfId="0" applyNumberFormat="1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/>
    </xf>
    <xf numFmtId="0" fontId="73" fillId="0" borderId="4" xfId="0" applyFont="1" applyFill="1" applyBorder="1" applyAlignment="1">
      <alignment horizontal="center"/>
    </xf>
    <xf numFmtId="0" fontId="58" fillId="0" borderId="1" xfId="0" applyFont="1" applyBorder="1" applyAlignment="1">
      <alignment horizontal="center" vertical="center"/>
    </xf>
    <xf numFmtId="4" fontId="74" fillId="0" borderId="5" xfId="0" applyNumberFormat="1" applyFont="1" applyBorder="1" applyAlignment="1">
      <alignment horizontal="center" vertical="center"/>
    </xf>
    <xf numFmtId="4" fontId="74" fillId="0" borderId="4" xfId="0" applyNumberFormat="1" applyFont="1" applyBorder="1" applyAlignment="1">
      <alignment horizontal="center" vertical="center"/>
    </xf>
    <xf numFmtId="0" fontId="57" fillId="0" borderId="5" xfId="0" applyFont="1" applyBorder="1" applyAlignment="1">
      <alignment horizontal="center" vertical="center" wrapText="1"/>
    </xf>
    <xf numFmtId="0" fontId="57" fillId="0" borderId="4" xfId="0" applyFont="1" applyBorder="1" applyAlignment="1">
      <alignment horizontal="center" vertical="center" wrapText="1"/>
    </xf>
    <xf numFmtId="164" fontId="57" fillId="0" borderId="10" xfId="0" applyNumberFormat="1" applyFont="1" applyFill="1" applyBorder="1" applyAlignment="1">
      <alignment horizontal="right" vertical="center" indent="1"/>
    </xf>
    <xf numFmtId="164" fontId="57" fillId="0" borderId="2" xfId="0" applyNumberFormat="1" applyFont="1" applyFill="1" applyBorder="1" applyAlignment="1">
      <alignment horizontal="right" vertical="center" indent="1"/>
    </xf>
    <xf numFmtId="0" fontId="73" fillId="0" borderId="1" xfId="0" applyFont="1" applyBorder="1" applyAlignment="1">
      <alignment horizontal="center"/>
    </xf>
    <xf numFmtId="0" fontId="57" fillId="0" borderId="1" xfId="0" applyFont="1" applyBorder="1" applyAlignment="1">
      <alignment horizontal="center" vertical="center"/>
    </xf>
    <xf numFmtId="0" fontId="58" fillId="5" borderId="10" xfId="0" applyFont="1" applyFill="1" applyBorder="1" applyAlignment="1">
      <alignment horizontal="center" vertical="center"/>
    </xf>
    <xf numFmtId="0" fontId="58" fillId="5" borderId="2" xfId="0" applyFont="1" applyFill="1" applyBorder="1" applyAlignment="1">
      <alignment horizontal="center" vertical="center"/>
    </xf>
    <xf numFmtId="0" fontId="57" fillId="5" borderId="24" xfId="0" applyFont="1" applyFill="1" applyBorder="1" applyAlignment="1">
      <alignment horizontal="left" vertical="center" wrapText="1"/>
    </xf>
    <xf numFmtId="0" fontId="57" fillId="5" borderId="25" xfId="0" applyFont="1" applyFill="1" applyBorder="1" applyAlignment="1">
      <alignment horizontal="left" vertical="center" wrapText="1"/>
    </xf>
    <xf numFmtId="0" fontId="57" fillId="5" borderId="10" xfId="0" applyFont="1" applyFill="1" applyBorder="1" applyAlignment="1">
      <alignment horizontal="center" vertical="center"/>
    </xf>
    <xf numFmtId="0" fontId="57" fillId="5" borderId="2" xfId="0" applyFont="1" applyFill="1" applyBorder="1" applyAlignment="1">
      <alignment horizontal="center" vertical="center"/>
    </xf>
    <xf numFmtId="0" fontId="63" fillId="0" borderId="0" xfId="0" applyFont="1" applyAlignment="1">
      <alignment horizontal="center"/>
    </xf>
    <xf numFmtId="164" fontId="57" fillId="5" borderId="10" xfId="0" applyNumberFormat="1" applyFont="1" applyFill="1" applyBorder="1" applyAlignment="1">
      <alignment horizontal="right" vertical="center" indent="1"/>
    </xf>
    <xf numFmtId="164" fontId="57" fillId="5" borderId="2" xfId="0" applyNumberFormat="1" applyFont="1" applyFill="1" applyBorder="1" applyAlignment="1">
      <alignment horizontal="right" vertical="center" indent="1"/>
    </xf>
    <xf numFmtId="0" fontId="53" fillId="0" borderId="0" xfId="0" applyFont="1" applyAlignment="1">
      <alignment horizontal="left" vertical="center"/>
    </xf>
    <xf numFmtId="0" fontId="60" fillId="9" borderId="14" xfId="0" applyFont="1" applyFill="1" applyBorder="1" applyAlignment="1">
      <alignment horizontal="center"/>
    </xf>
    <xf numFmtId="0" fontId="60" fillId="0" borderId="10" xfId="0" applyFont="1" applyBorder="1" applyAlignment="1">
      <alignment horizontal="center"/>
    </xf>
    <xf numFmtId="0" fontId="60" fillId="0" borderId="2" xfId="0" applyFont="1" applyBorder="1" applyAlignment="1">
      <alignment horizontal="center"/>
    </xf>
    <xf numFmtId="0" fontId="3" fillId="9" borderId="1" xfId="0" applyFont="1" applyFill="1" applyBorder="1" applyAlignment="1">
      <alignment horizontal="left"/>
    </xf>
    <xf numFmtId="0" fontId="10" fillId="9" borderId="1" xfId="0" applyFont="1" applyFill="1" applyBorder="1" applyAlignment="1">
      <alignment horizontal="left"/>
    </xf>
    <xf numFmtId="0" fontId="75" fillId="0" borderId="5" xfId="0" applyFont="1" applyBorder="1" applyAlignment="1">
      <alignment horizontal="center"/>
    </xf>
    <xf numFmtId="0" fontId="75" fillId="0" borderId="6" xfId="0" applyFont="1" applyBorder="1" applyAlignment="1">
      <alignment horizontal="center"/>
    </xf>
    <xf numFmtId="0" fontId="75" fillId="0" borderId="4" xfId="0" applyFont="1" applyBorder="1" applyAlignment="1">
      <alignment horizontal="center"/>
    </xf>
    <xf numFmtId="0" fontId="18" fillId="0" borderId="1" xfId="0" applyFont="1" applyBorder="1" applyAlignment="1">
      <alignment horizontal="right" vertical="center"/>
    </xf>
    <xf numFmtId="0" fontId="73" fillId="0" borderId="5" xfId="0" applyFont="1" applyBorder="1" applyAlignment="1">
      <alignment horizontal="center" vertical="center"/>
    </xf>
    <xf numFmtId="0" fontId="73" fillId="0" borderId="6" xfId="0" applyFont="1" applyBorder="1" applyAlignment="1">
      <alignment horizontal="center" vertical="center"/>
    </xf>
    <xf numFmtId="0" fontId="63" fillId="0" borderId="18" xfId="0" applyFont="1" applyBorder="1" applyAlignment="1">
      <alignment horizontal="center" vertical="center"/>
    </xf>
    <xf numFmtId="0" fontId="63" fillId="0" borderId="19" xfId="0" applyFont="1" applyBorder="1" applyAlignment="1">
      <alignment horizontal="center" vertical="center"/>
    </xf>
    <xf numFmtId="0" fontId="73" fillId="0" borderId="5" xfId="0" applyFont="1" applyBorder="1" applyAlignment="1">
      <alignment horizontal="center"/>
    </xf>
    <xf numFmtId="0" fontId="73" fillId="0" borderId="6" xfId="0" applyFont="1" applyBorder="1" applyAlignment="1">
      <alignment horizontal="center"/>
    </xf>
    <xf numFmtId="0" fontId="73" fillId="0" borderId="4" xfId="0" applyFont="1" applyBorder="1" applyAlignment="1">
      <alignment horizontal="center"/>
    </xf>
    <xf numFmtId="0" fontId="56" fillId="8" borderId="0" xfId="0" applyFont="1" applyFill="1" applyBorder="1" applyAlignment="1">
      <alignment horizontal="left"/>
    </xf>
    <xf numFmtId="0" fontId="73" fillId="0" borderId="1" xfId="0" applyFont="1" applyFill="1" applyBorder="1" applyAlignment="1">
      <alignment horizontal="center" vertical="center"/>
    </xf>
    <xf numFmtId="0" fontId="57" fillId="3" borderId="17" xfId="0" applyFont="1" applyFill="1" applyBorder="1" applyAlignment="1">
      <alignment horizontal="left"/>
    </xf>
    <xf numFmtId="0" fontId="57" fillId="3" borderId="4" xfId="0" applyFont="1" applyFill="1" applyBorder="1" applyAlignment="1">
      <alignment horizontal="left"/>
    </xf>
    <xf numFmtId="0" fontId="63" fillId="0" borderId="18" xfId="0" applyFont="1" applyBorder="1" applyAlignment="1">
      <alignment horizontal="center"/>
    </xf>
    <xf numFmtId="0" fontId="92" fillId="0" borderId="19" xfId="0" applyFont="1" applyBorder="1" applyAlignment="1">
      <alignment horizontal="center"/>
    </xf>
    <xf numFmtId="0" fontId="56" fillId="8" borderId="0" xfId="0" applyFont="1" applyFill="1" applyBorder="1" applyAlignment="1">
      <alignment horizontal="left" vertical="center" wrapText="1"/>
    </xf>
    <xf numFmtId="0" fontId="43" fillId="0" borderId="1" xfId="0" applyFont="1" applyBorder="1" applyAlignment="1">
      <alignment horizontal="right" vertical="center"/>
    </xf>
    <xf numFmtId="0" fontId="55" fillId="3" borderId="4" xfId="0" applyFont="1" applyFill="1" applyBorder="1" applyAlignment="1">
      <alignment horizontal="center" vertical="center" wrapText="1"/>
    </xf>
    <xf numFmtId="0" fontId="5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76" fillId="0" borderId="1" xfId="0" applyFont="1" applyBorder="1" applyAlignment="1">
      <alignment horizontal="right" vertical="center"/>
    </xf>
    <xf numFmtId="0" fontId="57" fillId="3" borderId="1" xfId="0" applyFont="1" applyFill="1" applyBorder="1" applyAlignment="1">
      <alignment horizontal="left"/>
    </xf>
    <xf numFmtId="0" fontId="57" fillId="0" borderId="5" xfId="0" applyFont="1" applyFill="1" applyBorder="1" applyAlignment="1">
      <alignment horizontal="center" vertical="center" wrapText="1"/>
    </xf>
    <xf numFmtId="0" fontId="57" fillId="0" borderId="6" xfId="0" applyFont="1" applyFill="1" applyBorder="1" applyAlignment="1">
      <alignment horizontal="center" vertical="center" wrapText="1"/>
    </xf>
    <xf numFmtId="0" fontId="58" fillId="0" borderId="5" xfId="0" applyFont="1" applyFill="1" applyBorder="1" applyAlignment="1">
      <alignment horizontal="center" vertical="center" wrapText="1"/>
    </xf>
    <xf numFmtId="0" fontId="58" fillId="0" borderId="6" xfId="0" applyFont="1" applyFill="1" applyBorder="1" applyAlignment="1">
      <alignment horizontal="center" vertical="center" wrapText="1"/>
    </xf>
    <xf numFmtId="0" fontId="57" fillId="0" borderId="5" xfId="0" applyFont="1" applyBorder="1" applyAlignment="1">
      <alignment horizontal="center" vertical="center"/>
    </xf>
    <xf numFmtId="0" fontId="57" fillId="0" borderId="6" xfId="0" applyFont="1" applyBorder="1" applyAlignment="1">
      <alignment horizontal="center" vertical="center"/>
    </xf>
    <xf numFmtId="0" fontId="55" fillId="0" borderId="5" xfId="0" applyFont="1" applyBorder="1" applyAlignment="1">
      <alignment horizontal="center" vertical="center"/>
    </xf>
    <xf numFmtId="0" fontId="55" fillId="0" borderId="6" xfId="0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60" fillId="0" borderId="1" xfId="0" applyFont="1" applyBorder="1" applyAlignment="1">
      <alignment horizontal="center"/>
    </xf>
    <xf numFmtId="0" fontId="60" fillId="0" borderId="5" xfId="0" applyFont="1" applyBorder="1" applyAlignment="1">
      <alignment horizontal="center"/>
    </xf>
    <xf numFmtId="0" fontId="55" fillId="0" borderId="1" xfId="0" applyFont="1" applyBorder="1" applyAlignment="1">
      <alignment horizontal="center" vertical="center"/>
    </xf>
    <xf numFmtId="0" fontId="54" fillId="0" borderId="5" xfId="0" applyFont="1" applyFill="1" applyBorder="1" applyAlignment="1">
      <alignment horizontal="center"/>
    </xf>
    <xf numFmtId="0" fontId="54" fillId="0" borderId="6" xfId="0" applyFont="1" applyFill="1" applyBorder="1" applyAlignment="1">
      <alignment horizontal="center"/>
    </xf>
    <xf numFmtId="0" fontId="54" fillId="0" borderId="4" xfId="0" applyFont="1" applyFill="1" applyBorder="1" applyAlignment="1">
      <alignment horizontal="center"/>
    </xf>
    <xf numFmtId="0" fontId="54" fillId="0" borderId="5" xfId="0" applyFont="1" applyBorder="1" applyAlignment="1">
      <alignment horizontal="center" vertical="center"/>
    </xf>
    <xf numFmtId="0" fontId="54" fillId="0" borderId="6" xfId="0" applyFont="1" applyBorder="1" applyAlignment="1">
      <alignment horizontal="center" vertical="center"/>
    </xf>
    <xf numFmtId="0" fontId="56" fillId="8" borderId="14" xfId="0" applyFont="1" applyFill="1" applyBorder="1" applyAlignment="1">
      <alignment horizontal="left" vertical="center" wrapText="1"/>
    </xf>
    <xf numFmtId="0" fontId="54" fillId="0" borderId="4" xfId="0" applyFont="1" applyBorder="1" applyAlignment="1">
      <alignment horizontal="center" vertical="center"/>
    </xf>
    <xf numFmtId="0" fontId="54" fillId="0" borderId="1" xfId="0" applyFont="1" applyFill="1" applyBorder="1" applyAlignment="1">
      <alignment horizontal="center"/>
    </xf>
    <xf numFmtId="0" fontId="57" fillId="0" borderId="5" xfId="0" applyFont="1" applyFill="1" applyBorder="1" applyAlignment="1">
      <alignment horizontal="left" vertical="center" wrapText="1"/>
    </xf>
    <xf numFmtId="0" fontId="57" fillId="0" borderId="6" xfId="0" applyFont="1" applyFill="1" applyBorder="1" applyAlignment="1">
      <alignment horizontal="left" vertical="center" wrapText="1"/>
    </xf>
    <xf numFmtId="0" fontId="57" fillId="0" borderId="4" xfId="0" applyFont="1" applyFill="1" applyBorder="1" applyAlignment="1">
      <alignment horizontal="left" vertical="center" wrapText="1"/>
    </xf>
    <xf numFmtId="0" fontId="58" fillId="0" borderId="4" xfId="0" applyFont="1" applyFill="1" applyBorder="1" applyAlignment="1">
      <alignment horizontal="center" vertical="center" wrapText="1"/>
    </xf>
    <xf numFmtId="0" fontId="57" fillId="0" borderId="5" xfId="0" applyFont="1" applyBorder="1" applyAlignment="1">
      <alignment horizontal="left" vertical="center" wrapText="1"/>
    </xf>
    <xf numFmtId="0" fontId="57" fillId="0" borderId="6" xfId="0" applyFont="1" applyBorder="1" applyAlignment="1">
      <alignment horizontal="left" vertical="center" wrapText="1"/>
    </xf>
    <xf numFmtId="0" fontId="57" fillId="0" borderId="4" xfId="0" applyFont="1" applyBorder="1" applyAlignment="1">
      <alignment horizontal="left" vertical="center" wrapText="1"/>
    </xf>
    <xf numFmtId="0" fontId="57" fillId="0" borderId="4" xfId="0" applyFont="1" applyFill="1" applyBorder="1" applyAlignment="1">
      <alignment horizontal="center" vertical="center" wrapText="1"/>
    </xf>
    <xf numFmtId="0" fontId="73" fillId="0" borderId="4" xfId="0" applyFont="1" applyFill="1" applyBorder="1" applyAlignment="1">
      <alignment horizontal="center" vertical="center"/>
    </xf>
    <xf numFmtId="0" fontId="57" fillId="0" borderId="6" xfId="0" applyFont="1" applyBorder="1" applyAlignment="1">
      <alignment horizontal="center" vertical="center" wrapText="1"/>
    </xf>
    <xf numFmtId="0" fontId="58" fillId="0" borderId="6" xfId="0" applyFont="1" applyBorder="1" applyAlignment="1">
      <alignment horizontal="center"/>
    </xf>
    <xf numFmtId="4" fontId="74" fillId="0" borderId="1" xfId="0" applyNumberFormat="1" applyFont="1" applyBorder="1" applyAlignment="1">
      <alignment horizontal="center" vertical="center"/>
    </xf>
    <xf numFmtId="0" fontId="56" fillId="8" borderId="14" xfId="0" applyFont="1" applyFill="1" applyBorder="1" applyAlignment="1">
      <alignment vertical="center"/>
    </xf>
    <xf numFmtId="0" fontId="53" fillId="0" borderId="0" xfId="0" applyFont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/>
    </xf>
    <xf numFmtId="0" fontId="29" fillId="0" borderId="3" xfId="0" applyFont="1" applyFill="1" applyBorder="1" applyAlignment="1">
      <alignment horizontal="left"/>
    </xf>
    <xf numFmtId="0" fontId="23" fillId="0" borderId="1" xfId="0" applyFont="1" applyBorder="1" applyAlignment="1">
      <alignment horizontal="left" indent="2"/>
    </xf>
    <xf numFmtId="0" fontId="23" fillId="0" borderId="1" xfId="0" applyFont="1" applyBorder="1" applyAlignment="1">
      <alignment horizontal="center"/>
    </xf>
    <xf numFmtId="0" fontId="30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wrapText="1"/>
    </xf>
    <xf numFmtId="0" fontId="27" fillId="0" borderId="4" xfId="0" applyFont="1" applyFill="1" applyBorder="1" applyAlignment="1">
      <alignment horizontal="center" wrapText="1"/>
    </xf>
    <xf numFmtId="0" fontId="23" fillId="0" borderId="5" xfId="0" applyFont="1" applyFill="1" applyBorder="1" applyAlignment="1">
      <alignment horizontal="center"/>
    </xf>
    <xf numFmtId="0" fontId="23" fillId="0" borderId="4" xfId="0" applyFont="1" applyFill="1" applyBorder="1" applyAlignment="1">
      <alignment horizontal="center"/>
    </xf>
    <xf numFmtId="0" fontId="47" fillId="0" borderId="1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/>
    </xf>
    <xf numFmtId="0" fontId="46" fillId="0" borderId="3" xfId="0" applyFont="1" applyFill="1" applyBorder="1" applyAlignment="1">
      <alignment horizontal="left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53" fillId="0" borderId="0" xfId="0" applyFont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57" fillId="0" borderId="2" xfId="0" applyFont="1" applyBorder="1" applyAlignment="1">
      <alignment horizontal="center" vertical="center" wrapText="1"/>
    </xf>
    <xf numFmtId="49" fontId="57" fillId="0" borderId="10" xfId="0" applyNumberFormat="1" applyFont="1" applyBorder="1" applyAlignment="1">
      <alignment horizontal="center" vertical="center"/>
    </xf>
    <xf numFmtId="49" fontId="57" fillId="0" borderId="2" xfId="0" applyNumberFormat="1" applyFont="1" applyBorder="1" applyAlignment="1">
      <alignment horizontal="center" vertical="center"/>
    </xf>
    <xf numFmtId="0" fontId="58" fillId="0" borderId="5" xfId="0" applyFont="1" applyBorder="1" applyAlignment="1">
      <alignment horizontal="center" vertical="center"/>
    </xf>
    <xf numFmtId="0" fontId="58" fillId="0" borderId="6" xfId="0" applyFont="1" applyBorder="1" applyAlignment="1">
      <alignment horizontal="center" vertical="center"/>
    </xf>
    <xf numFmtId="0" fontId="58" fillId="0" borderId="4" xfId="0" applyFont="1" applyBorder="1" applyAlignment="1">
      <alignment horizontal="center" vertical="center"/>
    </xf>
    <xf numFmtId="4" fontId="74" fillId="0" borderId="6" xfId="0" applyNumberFormat="1" applyFont="1" applyBorder="1" applyAlignment="1">
      <alignment horizontal="center" vertical="center"/>
    </xf>
    <xf numFmtId="4" fontId="74" fillId="0" borderId="10" xfId="0" applyNumberFormat="1" applyFont="1" applyBorder="1" applyAlignment="1">
      <alignment horizontal="right" vertical="center"/>
    </xf>
    <xf numFmtId="4" fontId="74" fillId="0" borderId="2" xfId="0" applyNumberFormat="1" applyFont="1" applyBorder="1" applyAlignment="1">
      <alignment horizontal="right" vertical="center"/>
    </xf>
    <xf numFmtId="165" fontId="74" fillId="0" borderId="10" xfId="0" applyNumberFormat="1" applyFont="1" applyBorder="1" applyAlignment="1">
      <alignment horizontal="right" vertical="center"/>
    </xf>
    <xf numFmtId="165" fontId="74" fillId="0" borderId="2" xfId="0" applyNumberFormat="1" applyFont="1" applyBorder="1" applyAlignment="1">
      <alignment horizontal="right" vertical="center"/>
    </xf>
    <xf numFmtId="0" fontId="58" fillId="0" borderId="10" xfId="0" applyFont="1" applyBorder="1" applyAlignment="1">
      <alignment horizontal="center" vertical="center"/>
    </xf>
    <xf numFmtId="0" fontId="58" fillId="0" borderId="2" xfId="0" applyFont="1" applyBorder="1" applyAlignment="1">
      <alignment horizontal="center" vertical="center"/>
    </xf>
    <xf numFmtId="0" fontId="57" fillId="0" borderId="24" xfId="0" applyFont="1" applyBorder="1" applyAlignment="1">
      <alignment horizontal="left" vertical="center" wrapText="1"/>
    </xf>
    <xf numFmtId="0" fontId="57" fillId="0" borderId="25" xfId="0" applyFont="1" applyBorder="1" applyAlignment="1">
      <alignment horizontal="left" vertical="center" wrapText="1"/>
    </xf>
    <xf numFmtId="0" fontId="57" fillId="0" borderId="10" xfId="0" applyFont="1" applyBorder="1" applyAlignment="1">
      <alignment horizontal="left" vertical="center" wrapText="1"/>
    </xf>
    <xf numFmtId="0" fontId="57" fillId="0" borderId="2" xfId="0" applyFont="1" applyBorder="1" applyAlignment="1">
      <alignment horizontal="left" vertical="center" wrapText="1"/>
    </xf>
    <xf numFmtId="0" fontId="58" fillId="0" borderId="14" xfId="0" applyFont="1" applyBorder="1" applyAlignment="1">
      <alignment horizontal="left"/>
    </xf>
    <xf numFmtId="0" fontId="53" fillId="0" borderId="0" xfId="0" applyFont="1" applyAlignment="1">
      <alignment horizontal="left"/>
    </xf>
    <xf numFmtId="0" fontId="56" fillId="8" borderId="0" xfId="0" applyFont="1" applyFill="1" applyAlignment="1">
      <alignment horizontal="left" wrapText="1"/>
    </xf>
  </cellXfs>
  <cellStyles count="7">
    <cellStyle name="Заголовок 2" xfId="1" builtinId="17"/>
    <cellStyle name="Заголовок 3" xfId="2" builtinId="18"/>
    <cellStyle name="Заголовок 4" xfId="3" builtinId="19"/>
    <cellStyle name="Итог" xfId="4" builtinId="25"/>
    <cellStyle name="Обычный" xfId="0" builtinId="0"/>
    <cellStyle name="Обычный 2 2" xfId="5"/>
    <cellStyle name="Обычный_Приложение 1, 2,3,4,5,6,7,8,9" xfId="6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cat>
            <c:numRef>
              <c:f>РасчетДоходов!$C$217:$C$223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РасчетДоходов!$D$217:$D$223</c:f>
              <c:numCache>
                <c:formatCode>#,##0.0</c:formatCode>
                <c:ptCount val="7"/>
                <c:pt idx="0">
                  <c:v>2.8</c:v>
                </c:pt>
                <c:pt idx="1">
                  <c:v>9.4</c:v>
                </c:pt>
                <c:pt idx="2">
                  <c:v>1.3</c:v>
                </c:pt>
                <c:pt idx="3">
                  <c:v>1.5</c:v>
                </c:pt>
                <c:pt idx="4">
                  <c:v>1.8</c:v>
                </c:pt>
                <c:pt idx="5">
                  <c:v>0.3</c:v>
                </c:pt>
                <c:pt idx="6">
                  <c:v>0.5</c:v>
                </c:pt>
              </c:numCache>
            </c:numRef>
          </c:val>
        </c:ser>
        <c:marker val="1"/>
        <c:axId val="58216448"/>
        <c:axId val="58218368"/>
      </c:lineChart>
      <c:catAx>
        <c:axId val="5821644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8218368"/>
        <c:crosses val="autoZero"/>
        <c:auto val="1"/>
        <c:lblAlgn val="ctr"/>
        <c:lblOffset val="100"/>
      </c:catAx>
      <c:valAx>
        <c:axId val="58218368"/>
        <c:scaling>
          <c:orientation val="minMax"/>
        </c:scaling>
        <c:axPos val="l"/>
        <c:majorGridlines/>
        <c:numFmt formatCode="#,##0.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8216448"/>
        <c:crosses val="autoZero"/>
        <c:crossBetween val="between"/>
      </c:valAx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0.11889289944951571"/>
          <c:y val="4.4995013921132213E-2"/>
          <c:w val="0.85750828049148731"/>
          <c:h val="0.82337027020558606"/>
        </c:manualLayout>
      </c:layout>
      <c:lineChart>
        <c:grouping val="standard"/>
        <c:ser>
          <c:idx val="0"/>
          <c:order val="0"/>
          <c:cat>
            <c:numRef>
              <c:f>РасчетДоходов!$C$20:$C$30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РасчетДоходов!$D$20:$D$30</c:f>
              <c:numCache>
                <c:formatCode>#,##0.0</c:formatCode>
                <c:ptCount val="11"/>
                <c:pt idx="0">
                  <c:v>1317.9</c:v>
                </c:pt>
                <c:pt idx="1">
                  <c:v>1691.8</c:v>
                </c:pt>
                <c:pt idx="2">
                  <c:v>1718.1</c:v>
                </c:pt>
                <c:pt idx="3">
                  <c:v>2814.4</c:v>
                </c:pt>
                <c:pt idx="4">
                  <c:v>1628.6</c:v>
                </c:pt>
                <c:pt idx="5">
                  <c:v>1409.7</c:v>
                </c:pt>
                <c:pt idx="6">
                  <c:v>1600.3</c:v>
                </c:pt>
                <c:pt idx="7">
                  <c:v>1439.2</c:v>
                </c:pt>
                <c:pt idx="8">
                  <c:v>1398.8</c:v>
                </c:pt>
                <c:pt idx="9">
                  <c:v>1379.4</c:v>
                </c:pt>
                <c:pt idx="10">
                  <c:v>1471.7</c:v>
                </c:pt>
              </c:numCache>
            </c:numRef>
          </c:val>
        </c:ser>
        <c:marker val="1"/>
        <c:axId val="58245504"/>
        <c:axId val="58247424"/>
      </c:lineChart>
      <c:catAx>
        <c:axId val="5824550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8247424"/>
        <c:crosses val="autoZero"/>
        <c:auto val="1"/>
        <c:lblAlgn val="ctr"/>
        <c:lblOffset val="100"/>
      </c:catAx>
      <c:valAx>
        <c:axId val="58247424"/>
        <c:scaling>
          <c:orientation val="minMax"/>
        </c:scaling>
        <c:axPos val="l"/>
        <c:majorGridlines/>
        <c:numFmt formatCode="#,##0.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8245504"/>
        <c:crosses val="autoZero"/>
        <c:crossBetween val="between"/>
      </c:valAx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7.6155074365704289E-2"/>
          <c:y val="5.0074447013825879E-2"/>
          <c:w val="0.89328937007874021"/>
          <c:h val="0.81762301706421603"/>
        </c:manualLayout>
      </c:layout>
      <c:lineChart>
        <c:grouping val="standard"/>
        <c:ser>
          <c:idx val="0"/>
          <c:order val="0"/>
          <c:cat>
            <c:numRef>
              <c:f>РасчетДоходов!$C$119:$C$128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РасчетДоходов!$D$119:$D$128</c:f>
              <c:numCache>
                <c:formatCode>#,##0.0</c:formatCode>
                <c:ptCount val="10"/>
                <c:pt idx="0">
                  <c:v>25.1</c:v>
                </c:pt>
                <c:pt idx="1">
                  <c:v>24.6</c:v>
                </c:pt>
                <c:pt idx="2">
                  <c:v>21.3</c:v>
                </c:pt>
                <c:pt idx="3">
                  <c:v>27</c:v>
                </c:pt>
                <c:pt idx="4">
                  <c:v>27.3</c:v>
                </c:pt>
                <c:pt idx="5">
                  <c:v>23.3</c:v>
                </c:pt>
                <c:pt idx="6">
                  <c:v>21.4</c:v>
                </c:pt>
                <c:pt idx="7">
                  <c:v>12.7</c:v>
                </c:pt>
                <c:pt idx="8">
                  <c:v>15.9</c:v>
                </c:pt>
                <c:pt idx="9">
                  <c:v>20.2</c:v>
                </c:pt>
              </c:numCache>
            </c:numRef>
          </c:val>
        </c:ser>
        <c:marker val="1"/>
        <c:axId val="55325440"/>
        <c:axId val="55327360"/>
      </c:lineChart>
      <c:catAx>
        <c:axId val="553254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5327360"/>
        <c:crosses val="autoZero"/>
        <c:auto val="1"/>
        <c:lblAlgn val="ctr"/>
        <c:lblOffset val="100"/>
      </c:catAx>
      <c:valAx>
        <c:axId val="55327360"/>
        <c:scaling>
          <c:orientation val="minMax"/>
        </c:scaling>
        <c:axPos val="l"/>
        <c:majorGridlines/>
        <c:numFmt formatCode="#,##0.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5325440"/>
        <c:crosses val="autoZero"/>
        <c:crossBetween val="between"/>
      </c:valAx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7.6155074365704289E-2"/>
          <c:y val="5.0074447013825893E-2"/>
          <c:w val="0.89328937007874021"/>
          <c:h val="0.81762301706421625"/>
        </c:manualLayout>
      </c:layout>
      <c:lineChart>
        <c:grouping val="standard"/>
        <c:ser>
          <c:idx val="0"/>
          <c:order val="0"/>
          <c:cat>
            <c:numRef>
              <c:f>РасчетДоходов!$F$172:$F$181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РасчетДоходов!$G$172:$G$181</c:f>
              <c:numCache>
                <c:formatCode>0.0</c:formatCode>
                <c:ptCount val="10"/>
                <c:pt idx="0">
                  <c:v>461.3</c:v>
                </c:pt>
                <c:pt idx="1">
                  <c:v>602.20000000000005</c:v>
                </c:pt>
                <c:pt idx="2">
                  <c:v>553.9</c:v>
                </c:pt>
                <c:pt idx="3">
                  <c:v>435.4</c:v>
                </c:pt>
                <c:pt idx="4">
                  <c:v>560.29999999999995</c:v>
                </c:pt>
                <c:pt idx="5">
                  <c:v>643.5</c:v>
                </c:pt>
                <c:pt idx="6">
                  <c:v>580.20000000000005</c:v>
                </c:pt>
                <c:pt idx="7">
                  <c:v>430.5</c:v>
                </c:pt>
                <c:pt idx="8">
                  <c:v>313.10000000000002</c:v>
                </c:pt>
                <c:pt idx="9">
                  <c:v>441.3</c:v>
                </c:pt>
              </c:numCache>
            </c:numRef>
          </c:val>
        </c:ser>
        <c:marker val="1"/>
        <c:axId val="55362688"/>
        <c:axId val="55364608"/>
      </c:lineChart>
      <c:catAx>
        <c:axId val="5536268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5364608"/>
        <c:crosses val="autoZero"/>
        <c:auto val="1"/>
        <c:lblAlgn val="ctr"/>
        <c:lblOffset val="100"/>
      </c:catAx>
      <c:valAx>
        <c:axId val="55364608"/>
        <c:scaling>
          <c:orientation val="minMax"/>
        </c:scaling>
        <c:axPos val="l"/>
        <c:majorGridlines/>
        <c:numFmt formatCode="0.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5362688"/>
        <c:crosses val="autoZero"/>
        <c:crossBetween val="between"/>
      </c:valAx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7.6155074365704289E-2"/>
          <c:y val="5.0074447013825893E-2"/>
          <c:w val="0.89328937007874021"/>
          <c:h val="0.81762301706421658"/>
        </c:manualLayout>
      </c:layout>
      <c:lineChart>
        <c:grouping val="standard"/>
        <c:ser>
          <c:idx val="0"/>
          <c:order val="0"/>
          <c:cat>
            <c:numRef>
              <c:f>РасчетДоходов!$C$153:$C$162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РасчетДоходов!$D$153:$D$162</c:f>
              <c:numCache>
                <c:formatCode>#,##0.0</c:formatCode>
                <c:ptCount val="10"/>
                <c:pt idx="0">
                  <c:v>84.9</c:v>
                </c:pt>
                <c:pt idx="1">
                  <c:v>131.69999999999999</c:v>
                </c:pt>
                <c:pt idx="2">
                  <c:v>228.4</c:v>
                </c:pt>
                <c:pt idx="3">
                  <c:v>531.70000000000005</c:v>
                </c:pt>
                <c:pt idx="4">
                  <c:v>399.5</c:v>
                </c:pt>
                <c:pt idx="5">
                  <c:v>640.70000000000005</c:v>
                </c:pt>
                <c:pt idx="6">
                  <c:v>1070.2</c:v>
                </c:pt>
                <c:pt idx="7">
                  <c:v>1115.5999999999999</c:v>
                </c:pt>
                <c:pt idx="8">
                  <c:v>1260.8</c:v>
                </c:pt>
                <c:pt idx="9">
                  <c:v>1218.7</c:v>
                </c:pt>
              </c:numCache>
            </c:numRef>
          </c:val>
        </c:ser>
        <c:marker val="1"/>
        <c:axId val="60818944"/>
        <c:axId val="60820864"/>
      </c:lineChart>
      <c:catAx>
        <c:axId val="6081894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60820864"/>
        <c:crosses val="autoZero"/>
        <c:auto val="1"/>
        <c:lblAlgn val="ctr"/>
        <c:lblOffset val="100"/>
      </c:catAx>
      <c:valAx>
        <c:axId val="60820864"/>
        <c:scaling>
          <c:orientation val="minMax"/>
        </c:scaling>
        <c:axPos val="l"/>
        <c:majorGridlines/>
        <c:numFmt formatCode="#,##0.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60818944"/>
        <c:crosses val="autoZero"/>
        <c:crossBetween val="between"/>
      </c:valAx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215</xdr:row>
      <xdr:rowOff>76200</xdr:rowOff>
    </xdr:from>
    <xdr:to>
      <xdr:col>11</xdr:col>
      <xdr:colOff>142875</xdr:colOff>
      <xdr:row>229</xdr:row>
      <xdr:rowOff>47625</xdr:rowOff>
    </xdr:to>
    <xdr:graphicFrame macro="">
      <xdr:nvGraphicFramePr>
        <xdr:cNvPr id="32777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18</xdr:row>
      <xdr:rowOff>66675</xdr:rowOff>
    </xdr:from>
    <xdr:to>
      <xdr:col>11</xdr:col>
      <xdr:colOff>438150</xdr:colOff>
      <xdr:row>34</xdr:row>
      <xdr:rowOff>47625</xdr:rowOff>
    </xdr:to>
    <xdr:graphicFrame macro="">
      <xdr:nvGraphicFramePr>
        <xdr:cNvPr id="32778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57150</xdr:colOff>
      <xdr:row>116</xdr:row>
      <xdr:rowOff>66675</xdr:rowOff>
    </xdr:from>
    <xdr:to>
      <xdr:col>11</xdr:col>
      <xdr:colOff>190500</xdr:colOff>
      <xdr:row>128</xdr:row>
      <xdr:rowOff>171450</xdr:rowOff>
    </xdr:to>
    <xdr:graphicFrame macro="">
      <xdr:nvGraphicFramePr>
        <xdr:cNvPr id="32779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95250</xdr:colOff>
      <xdr:row>169</xdr:row>
      <xdr:rowOff>28575</xdr:rowOff>
    </xdr:from>
    <xdr:to>
      <xdr:col>13</xdr:col>
      <xdr:colOff>371475</xdr:colOff>
      <xdr:row>183</xdr:row>
      <xdr:rowOff>142875</xdr:rowOff>
    </xdr:to>
    <xdr:graphicFrame macro="">
      <xdr:nvGraphicFramePr>
        <xdr:cNvPr id="32780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133350</xdr:colOff>
      <xdr:row>151</xdr:row>
      <xdr:rowOff>57150</xdr:rowOff>
    </xdr:from>
    <xdr:to>
      <xdr:col>10</xdr:col>
      <xdr:colOff>66675</xdr:colOff>
      <xdr:row>164</xdr:row>
      <xdr:rowOff>19050</xdr:rowOff>
    </xdr:to>
    <xdr:graphicFrame macro="">
      <xdr:nvGraphicFramePr>
        <xdr:cNvPr id="32781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12F~1/AppData/Local/Temp/Rar$DIa2564.8622/&#1055;&#1072;&#1088;&#1072;&#1084;&#1077;&#1090;&#1088;&#1099;+&#1089;&#1084;&#1077;&#1090;&#1072;%20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 свод"/>
      <sheetName val="Доходы"/>
      <sheetName val="Расходы"/>
      <sheetName val="Дефицит"/>
      <sheetName val="РасчетДоходов"/>
      <sheetName val="СВОД смет"/>
      <sheetName val="смВДЛ"/>
      <sheetName val="расчВДЛ"/>
      <sheetName val="смДеп"/>
      <sheetName val="расчДеп"/>
      <sheetName val="смАУП"/>
      <sheetName val="расчАУП"/>
      <sheetName val="смКСП"/>
      <sheetName val="расчКСП"/>
      <sheetName val="смВыборы"/>
      <sheetName val="расчВыборы"/>
      <sheetName val="смРезерв"/>
      <sheetName val="расчРезерв"/>
      <sheetName val="смАдмПр"/>
      <sheetName val="расчАдмПр"/>
      <sheetName val="смПуст"/>
      <sheetName val="расчПуст"/>
      <sheetName val="смИнж.Сети"/>
      <sheetName val="расчИнж.Сети"/>
      <sheetName val="смАсс"/>
      <sheetName val="расчАсс"/>
      <sheetName val="смНедвиж"/>
      <sheetName val="расчНедвиж"/>
      <sheetName val="смУМИ"/>
      <sheetName val="расчУМИ"/>
      <sheetName val="смПВУ"/>
      <sheetName val="расчПВУ"/>
      <sheetName val="смГОиЧС"/>
      <sheetName val="расчГОиЧС"/>
      <sheetName val="смДороги"/>
      <sheetName val="расчДороги"/>
      <sheetName val="смМежев"/>
      <sheetName val="расчМежев"/>
      <sheetName val="смПУ"/>
      <sheetName val="расчПУ"/>
      <sheetName val="смРемонт"/>
      <sheetName val="расчРемонт"/>
      <sheetName val="смСточ.Вод"/>
      <sheetName val="расчСточ.Вод"/>
      <sheetName val="смКотел"/>
      <sheetName val="расчКотел"/>
      <sheetName val="смПроект.Док-ия"/>
      <sheetName val="расчПроект.док-ия"/>
      <sheetName val="смБаня"/>
      <sheetName val="расчБаня"/>
      <sheetName val="смДетПлощ"/>
      <sheetName val="расчДетПлощ"/>
      <sheetName val="смУлОсв"/>
      <sheetName val="расчУлОсв"/>
      <sheetName val="смБлаг-во"/>
      <sheetName val="расчБлаг-во"/>
      <sheetName val="смДК(ЦП РБ)"/>
      <sheetName val="смРитуал"/>
      <sheetName val="расчРитуал"/>
      <sheetName val="смПенс"/>
      <sheetName val="расчПенс"/>
      <sheetName val="смСоциал"/>
      <sheetName val="расчСоц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5">
          <cell r="A25" t="str">
            <v>Исполнитель: финансист</v>
          </cell>
          <cell r="H25" t="str">
            <v>Е.Н. Рыбалка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N116"/>
  <sheetViews>
    <sheetView topLeftCell="A43" workbookViewId="0">
      <selection activeCell="C30" sqref="C30"/>
    </sheetView>
  </sheetViews>
  <sheetFormatPr defaultColWidth="11.5703125" defaultRowHeight="12.75"/>
  <cols>
    <col min="1" max="1" width="24.28515625" style="1" customWidth="1"/>
    <col min="2" max="2" width="47.5703125" style="1" customWidth="1"/>
    <col min="3" max="5" width="11.5703125" style="1" customWidth="1"/>
    <col min="6" max="6" width="5.5703125" style="1" customWidth="1"/>
    <col min="7" max="7" width="12.85546875" style="38" bestFit="1" customWidth="1"/>
    <col min="8" max="8" width="22.140625" style="1" customWidth="1"/>
    <col min="9" max="11" width="12.7109375" style="1" customWidth="1"/>
    <col min="12" max="13" width="11.28515625" style="1" customWidth="1"/>
    <col min="14" max="253" width="9.140625" style="1" customWidth="1"/>
    <col min="254" max="254" width="24.28515625" style="1" customWidth="1"/>
    <col min="255" max="255" width="47.5703125" style="1" customWidth="1"/>
    <col min="256" max="16384" width="11.5703125" style="1"/>
  </cols>
  <sheetData>
    <row r="1" spans="1:10" ht="25.5" customHeight="1">
      <c r="C1" s="899" t="s">
        <v>256</v>
      </c>
      <c r="D1" s="899"/>
      <c r="E1" s="899"/>
    </row>
    <row r="2" spans="1:10" ht="17.25" customHeight="1">
      <c r="A2" s="900" t="s">
        <v>257</v>
      </c>
      <c r="B2" s="900"/>
      <c r="C2" s="900"/>
      <c r="D2" s="900"/>
      <c r="E2" s="900"/>
      <c r="H2" s="1" t="s">
        <v>252</v>
      </c>
      <c r="I2" s="106">
        <f>C52+C54+C66</f>
        <v>22644.5</v>
      </c>
    </row>
    <row r="3" spans="1:10" ht="20.25" customHeight="1">
      <c r="A3" s="900" t="s">
        <v>123</v>
      </c>
      <c r="B3" s="900"/>
      <c r="C3" s="900"/>
      <c r="D3" s="900"/>
      <c r="E3" s="900"/>
      <c r="H3" s="1" t="s">
        <v>253</v>
      </c>
      <c r="I3" s="106">
        <f>C50+C60</f>
        <v>2179</v>
      </c>
    </row>
    <row r="4" spans="1:10" ht="13.5" customHeight="1">
      <c r="A4" s="904" t="s">
        <v>258</v>
      </c>
      <c r="B4" s="904"/>
      <c r="C4" s="904"/>
      <c r="D4" s="904"/>
      <c r="E4" s="904"/>
    </row>
    <row r="5" spans="1:10" ht="18" customHeight="1">
      <c r="A5" s="901" t="s">
        <v>259</v>
      </c>
      <c r="B5" s="902" t="s">
        <v>260</v>
      </c>
      <c r="C5" s="903" t="s">
        <v>239</v>
      </c>
      <c r="D5" s="903" t="s">
        <v>261</v>
      </c>
      <c r="E5" s="903"/>
    </row>
    <row r="6" spans="1:10" ht="35.25" customHeight="1">
      <c r="A6" s="901"/>
      <c r="B6" s="902"/>
      <c r="C6" s="903"/>
      <c r="D6" s="2" t="s">
        <v>240</v>
      </c>
      <c r="E6" s="2" t="s">
        <v>241</v>
      </c>
      <c r="H6" s="1" t="s">
        <v>78</v>
      </c>
    </row>
    <row r="7" spans="1:10" ht="15">
      <c r="A7" s="3"/>
      <c r="B7" s="4" t="s">
        <v>262</v>
      </c>
      <c r="C7" s="5">
        <f>C8+C47</f>
        <v>31051.200000000001</v>
      </c>
      <c r="D7" s="5">
        <f>D8+D47</f>
        <v>31244.300000000003</v>
      </c>
      <c r="E7" s="5">
        <f>E8+E47</f>
        <v>29168.799999999999</v>
      </c>
      <c r="H7" s="1" t="s">
        <v>77</v>
      </c>
      <c r="J7" s="790">
        <f>C8+C49</f>
        <v>18557.399999999998</v>
      </c>
    </row>
    <row r="8" spans="1:10" ht="26.25" customHeight="1" thickBot="1">
      <c r="A8" s="611" t="s">
        <v>263</v>
      </c>
      <c r="B8" s="612" t="s">
        <v>264</v>
      </c>
      <c r="C8" s="6">
        <f>C9+C13+C18+C22+C26+C29+C36+C40+C44</f>
        <v>6227.7</v>
      </c>
      <c r="D8" s="6">
        <f>D9+D13+D18+D22+D26+D29+D40+D44</f>
        <v>6464.5</v>
      </c>
      <c r="E8" s="6">
        <f>E9+E13+E18+E22+E26+E29+E40+E44</f>
        <v>4356.2</v>
      </c>
      <c r="G8" s="583"/>
      <c r="H8" s="791">
        <v>0.80900000000000005</v>
      </c>
      <c r="I8" s="791">
        <v>0.21099999999999999</v>
      </c>
    </row>
    <row r="9" spans="1:10" ht="16.5" thickTop="1" thickBot="1">
      <c r="A9" s="611" t="s">
        <v>265</v>
      </c>
      <c r="B9" s="613" t="s">
        <v>266</v>
      </c>
      <c r="C9" s="6">
        <f t="shared" ref="C9:E10" si="0">C10</f>
        <v>1340.1</v>
      </c>
      <c r="D9" s="6">
        <f t="shared" si="0"/>
        <v>1413.5</v>
      </c>
      <c r="E9" s="6">
        <f t="shared" si="0"/>
        <v>1508.1</v>
      </c>
      <c r="H9" s="106">
        <f>ROUND(J7*H8,1)</f>
        <v>15012.9</v>
      </c>
      <c r="I9" s="106">
        <f>ROUND(J7*I8,1)</f>
        <v>3915.6</v>
      </c>
    </row>
    <row r="10" spans="1:10" ht="15">
      <c r="A10" s="611" t="s">
        <v>267</v>
      </c>
      <c r="B10" s="8" t="s">
        <v>268</v>
      </c>
      <c r="C10" s="6">
        <f t="shared" si="0"/>
        <v>1340.1</v>
      </c>
      <c r="D10" s="6">
        <f t="shared" si="0"/>
        <v>1413.5</v>
      </c>
      <c r="E10" s="6">
        <f t="shared" si="0"/>
        <v>1508.1</v>
      </c>
      <c r="H10" s="106">
        <f ca="1">Расходы!G12+Расходы!G16+Расходы!G21-Расходы!G25</f>
        <v>14148.6</v>
      </c>
      <c r="I10" s="106">
        <f ca="1">рВДЛ!G10+рВДЛ!I26+рЗП!G9+9</f>
        <v>3604.5999999999995</v>
      </c>
      <c r="J10" s="1" t="s">
        <v>79</v>
      </c>
    </row>
    <row r="11" spans="1:10" ht="76.5">
      <c r="A11" s="9" t="s">
        <v>962</v>
      </c>
      <c r="B11" s="10" t="s">
        <v>963</v>
      </c>
      <c r="C11" s="11">
        <v>1340.1</v>
      </c>
      <c r="D11" s="11">
        <f>ROUND((C11*1.0548),1)</f>
        <v>1413.5</v>
      </c>
      <c r="E11" s="11">
        <f>ROUND((D11*1.0669),1)</f>
        <v>1508.1</v>
      </c>
      <c r="H11" s="468"/>
    </row>
    <row r="12" spans="1:10" ht="45.75" thickBot="1">
      <c r="A12" s="70" t="s">
        <v>269</v>
      </c>
      <c r="B12" s="543" t="s">
        <v>270</v>
      </c>
      <c r="C12" s="6">
        <f>C13</f>
        <v>2071</v>
      </c>
      <c r="D12" s="6">
        <f>D13</f>
        <v>2221.1999999999998</v>
      </c>
      <c r="E12" s="6">
        <f>E13</f>
        <v>0</v>
      </c>
    </row>
    <row r="13" spans="1:10" ht="45">
      <c r="A13" s="70" t="s">
        <v>271</v>
      </c>
      <c r="B13" s="12" t="s">
        <v>272</v>
      </c>
      <c r="C13" s="13">
        <f>SUM(C14:C17)</f>
        <v>2071</v>
      </c>
      <c r="D13" s="13">
        <f>SUM(D14:D17)</f>
        <v>2221.1999999999998</v>
      </c>
      <c r="E13" s="13">
        <f>SUM(E14:E17)</f>
        <v>0</v>
      </c>
      <c r="G13" s="584"/>
    </row>
    <row r="14" spans="1:10" ht="76.5">
      <c r="A14" s="14" t="s">
        <v>273</v>
      </c>
      <c r="B14" s="15" t="s">
        <v>274</v>
      </c>
      <c r="C14" s="11">
        <f ca="1">РасчетДоходов!D49</f>
        <v>954.7</v>
      </c>
      <c r="D14" s="11">
        <f ca="1">РасчетДоходов!E49</f>
        <v>1022.4</v>
      </c>
      <c r="E14" s="11">
        <f ca="1">РасчетДоходов!F49</f>
        <v>0</v>
      </c>
      <c r="G14" s="585"/>
    </row>
    <row r="15" spans="1:10" ht="89.25">
      <c r="A15" s="14" t="s">
        <v>275</v>
      </c>
      <c r="B15" s="15" t="s">
        <v>276</v>
      </c>
      <c r="C15" s="11">
        <f ca="1">РасчетДоходов!D50</f>
        <v>4.8</v>
      </c>
      <c r="D15" s="11">
        <f ca="1">РасчетДоходов!E50</f>
        <v>5</v>
      </c>
      <c r="E15" s="11">
        <f ca="1">РасчетДоходов!F50</f>
        <v>0</v>
      </c>
      <c r="G15" s="585"/>
    </row>
    <row r="16" spans="1:10" ht="76.5">
      <c r="A16" s="14" t="s">
        <v>277</v>
      </c>
      <c r="B16" s="15" t="s">
        <v>278</v>
      </c>
      <c r="C16" s="11">
        <f ca="1">РасчетДоходов!D51</f>
        <v>1243.5</v>
      </c>
      <c r="D16" s="11">
        <f ca="1">РасчетДоходов!E51</f>
        <v>1323.6</v>
      </c>
      <c r="E16" s="11">
        <f ca="1">РасчетДоходов!F51</f>
        <v>0</v>
      </c>
      <c r="G16" s="585"/>
    </row>
    <row r="17" spans="1:10" ht="76.5">
      <c r="A17" s="14" t="s">
        <v>964</v>
      </c>
      <c r="B17" s="15" t="s">
        <v>279</v>
      </c>
      <c r="C17" s="11">
        <f ca="1">РасчетДоходов!D52</f>
        <v>-132</v>
      </c>
      <c r="D17" s="11">
        <f ca="1">РасчетДоходов!E52</f>
        <v>-129.80000000000001</v>
      </c>
      <c r="E17" s="11">
        <f ca="1">РасчетДоходов!F52</f>
        <v>0</v>
      </c>
      <c r="G17" s="585"/>
    </row>
    <row r="18" spans="1:10" ht="15.75" thickBot="1">
      <c r="A18" s="70" t="s">
        <v>280</v>
      </c>
      <c r="B18" s="543" t="s">
        <v>281</v>
      </c>
      <c r="C18" s="13">
        <f t="shared" ref="C18:E20" si="1">C19</f>
        <v>136</v>
      </c>
      <c r="D18" s="13">
        <f t="shared" si="1"/>
        <v>136</v>
      </c>
      <c r="E18" s="13">
        <f t="shared" si="1"/>
        <v>136</v>
      </c>
    </row>
    <row r="19" spans="1:10" ht="25.5">
      <c r="A19" s="14" t="s">
        <v>282</v>
      </c>
      <c r="B19" s="15" t="s">
        <v>283</v>
      </c>
      <c r="C19" s="11">
        <f t="shared" si="1"/>
        <v>136</v>
      </c>
      <c r="D19" s="11">
        <f t="shared" si="1"/>
        <v>136</v>
      </c>
      <c r="E19" s="11">
        <f t="shared" si="1"/>
        <v>136</v>
      </c>
      <c r="H19" s="16"/>
    </row>
    <row r="20" spans="1:10" ht="25.5">
      <c r="A20" s="14" t="s">
        <v>965</v>
      </c>
      <c r="B20" s="15" t="s">
        <v>284</v>
      </c>
      <c r="C20" s="11">
        <f t="shared" si="1"/>
        <v>136</v>
      </c>
      <c r="D20" s="11">
        <f t="shared" si="1"/>
        <v>136</v>
      </c>
      <c r="E20" s="11">
        <f t="shared" si="1"/>
        <v>136</v>
      </c>
      <c r="G20" s="51"/>
      <c r="H20" s="38"/>
      <c r="I20" s="38"/>
      <c r="J20" s="38"/>
    </row>
    <row r="21" spans="1:10" ht="25.5">
      <c r="A21" s="14" t="s">
        <v>285</v>
      </c>
      <c r="B21" s="17" t="s">
        <v>284</v>
      </c>
      <c r="C21" s="11">
        <f ca="1">РасчетДоходов!D60</f>
        <v>136</v>
      </c>
      <c r="D21" s="11">
        <f ca="1">РасчетДоходов!E60</f>
        <v>136</v>
      </c>
      <c r="E21" s="11">
        <f ca="1">РасчетДоходов!F60</f>
        <v>136</v>
      </c>
      <c r="G21" s="818" t="s">
        <v>784</v>
      </c>
      <c r="J21" s="106"/>
    </row>
    <row r="22" spans="1:10" ht="15.75" thickBot="1">
      <c r="A22" s="611" t="s">
        <v>286</v>
      </c>
      <c r="B22" s="613" t="s">
        <v>287</v>
      </c>
      <c r="C22" s="13">
        <f>C23</f>
        <v>999.4</v>
      </c>
      <c r="D22" s="13">
        <f>D23</f>
        <v>999.4</v>
      </c>
      <c r="E22" s="13">
        <f>E23</f>
        <v>999.4</v>
      </c>
    </row>
    <row r="23" spans="1:10" ht="15">
      <c r="A23" s="611" t="s">
        <v>288</v>
      </c>
      <c r="B23" s="8" t="s">
        <v>289</v>
      </c>
      <c r="C23" s="13">
        <f>C25</f>
        <v>999.4</v>
      </c>
      <c r="D23" s="13">
        <f>D25</f>
        <v>999.4</v>
      </c>
      <c r="E23" s="13">
        <f>E25</f>
        <v>999.4</v>
      </c>
    </row>
    <row r="24" spans="1:10">
      <c r="A24" s="18" t="s">
        <v>290</v>
      </c>
      <c r="B24" s="19" t="s">
        <v>291</v>
      </c>
      <c r="C24" s="20">
        <f>C25</f>
        <v>999.4</v>
      </c>
      <c r="D24" s="20">
        <f>D25</f>
        <v>999.4</v>
      </c>
      <c r="E24" s="20">
        <f>E25</f>
        <v>999.4</v>
      </c>
    </row>
    <row r="25" spans="1:10" ht="38.25">
      <c r="A25" s="18" t="s">
        <v>292</v>
      </c>
      <c r="B25" s="21" t="s">
        <v>966</v>
      </c>
      <c r="C25" s="22">
        <f ca="1">РасчетДоходов!F77</f>
        <v>999.4</v>
      </c>
      <c r="D25" s="11">
        <f ca="1">C25</f>
        <v>999.4</v>
      </c>
      <c r="E25" s="11">
        <f>D25</f>
        <v>999.4</v>
      </c>
    </row>
    <row r="26" spans="1:10" ht="15">
      <c r="A26" s="611" t="s">
        <v>293</v>
      </c>
      <c r="B26" s="8" t="s">
        <v>294</v>
      </c>
      <c r="C26" s="13">
        <f ca="1">C28</f>
        <v>20.2</v>
      </c>
      <c r="D26" s="13">
        <f ca="1">D28</f>
        <v>18</v>
      </c>
      <c r="E26" s="13">
        <f>E28</f>
        <v>18</v>
      </c>
    </row>
    <row r="27" spans="1:10" ht="51">
      <c r="A27" s="23" t="s">
        <v>295</v>
      </c>
      <c r="B27" s="24" t="s">
        <v>296</v>
      </c>
      <c r="C27" s="20">
        <f ca="1">C28</f>
        <v>20.2</v>
      </c>
      <c r="D27" s="20">
        <f ca="1">D28</f>
        <v>18</v>
      </c>
      <c r="E27" s="20">
        <f>E28</f>
        <v>18</v>
      </c>
    </row>
    <row r="28" spans="1:10" ht="78.75" customHeight="1">
      <c r="A28" s="18" t="s">
        <v>297</v>
      </c>
      <c r="B28" s="21" t="s">
        <v>298</v>
      </c>
      <c r="C28" s="11">
        <f ca="1">РасчетДоходов!F104</f>
        <v>20.2</v>
      </c>
      <c r="D28" s="11">
        <f ca="1">AVERAGE(РасчетДоходов!D126,РасчетДоходов!E125,РасчетДоходов!D124)</f>
        <v>18</v>
      </c>
      <c r="E28" s="11">
        <f>D28</f>
        <v>18</v>
      </c>
    </row>
    <row r="29" spans="1:10" ht="45.75" thickBot="1">
      <c r="A29" s="611" t="s">
        <v>299</v>
      </c>
      <c r="B29" s="614" t="s">
        <v>300</v>
      </c>
      <c r="C29" s="13">
        <f>C30+C33+C40</f>
        <v>1660.5</v>
      </c>
      <c r="D29" s="13">
        <f>D30+D33</f>
        <v>1675.9</v>
      </c>
      <c r="E29" s="13">
        <f>E30+E33</f>
        <v>1694.2</v>
      </c>
    </row>
    <row r="30" spans="1:10" ht="120">
      <c r="A30" s="82" t="s">
        <v>301</v>
      </c>
      <c r="B30" s="12" t="s">
        <v>302</v>
      </c>
      <c r="C30" s="13">
        <f t="shared" ref="C30:E31" si="2">C31</f>
        <v>1218.7</v>
      </c>
      <c r="D30" s="13">
        <f t="shared" si="2"/>
        <v>1218.7</v>
      </c>
      <c r="E30" s="13">
        <f t="shared" si="2"/>
        <v>1218.7</v>
      </c>
    </row>
    <row r="31" spans="1:10" ht="76.5">
      <c r="A31" s="25" t="s">
        <v>303</v>
      </c>
      <c r="B31" s="10" t="s">
        <v>304</v>
      </c>
      <c r="C31" s="26">
        <f t="shared" si="2"/>
        <v>1218.7</v>
      </c>
      <c r="D31" s="26">
        <f t="shared" si="2"/>
        <v>1218.7</v>
      </c>
      <c r="E31" s="26">
        <f t="shared" si="2"/>
        <v>1218.7</v>
      </c>
    </row>
    <row r="32" spans="1:10" ht="63.75">
      <c r="A32" s="25" t="s">
        <v>305</v>
      </c>
      <c r="B32" s="10" t="s">
        <v>306</v>
      </c>
      <c r="C32" s="26">
        <f ca="1">РасчетДоходов!F137</f>
        <v>1218.7</v>
      </c>
      <c r="D32" s="11">
        <f>C32</f>
        <v>1218.7</v>
      </c>
      <c r="E32" s="11">
        <f>D32</f>
        <v>1218.7</v>
      </c>
      <c r="G32" s="829"/>
      <c r="H32" s="829"/>
      <c r="I32" s="829"/>
    </row>
    <row r="33" spans="1:9" ht="105">
      <c r="A33" s="615" t="s">
        <v>893</v>
      </c>
      <c r="B33" s="616" t="s">
        <v>307</v>
      </c>
      <c r="C33" s="28">
        <f t="shared" ref="C33:E34" si="3">C34</f>
        <v>441.3</v>
      </c>
      <c r="D33" s="28">
        <f t="shared" si="3"/>
        <v>457.2</v>
      </c>
      <c r="E33" s="28">
        <f t="shared" si="3"/>
        <v>475.5</v>
      </c>
    </row>
    <row r="34" spans="1:9" ht="76.5">
      <c r="A34" s="25" t="s">
        <v>308</v>
      </c>
      <c r="B34" s="10" t="s">
        <v>309</v>
      </c>
      <c r="C34" s="26">
        <f t="shared" si="3"/>
        <v>441.3</v>
      </c>
      <c r="D34" s="26">
        <f t="shared" si="3"/>
        <v>457.2</v>
      </c>
      <c r="E34" s="26">
        <f t="shared" si="3"/>
        <v>475.5</v>
      </c>
    </row>
    <row r="35" spans="1:9" ht="76.5">
      <c r="A35" s="25" t="s">
        <v>310</v>
      </c>
      <c r="B35" s="10" t="s">
        <v>311</v>
      </c>
      <c r="C35" s="26">
        <f ca="1">РасчетДоходов!F169</f>
        <v>441.3</v>
      </c>
      <c r="D35" s="11">
        <f>ROUND((C35*1.036),1)</f>
        <v>457.2</v>
      </c>
      <c r="E35" s="11">
        <f>ROUND((D35*1.04),1)</f>
        <v>475.5</v>
      </c>
    </row>
    <row r="36" spans="1:9" ht="30" hidden="1">
      <c r="A36" s="27" t="s">
        <v>894</v>
      </c>
      <c r="B36" s="617" t="s">
        <v>899</v>
      </c>
      <c r="C36" s="28">
        <f>C37</f>
        <v>0</v>
      </c>
      <c r="D36" s="28">
        <f t="shared" ref="D36:E38" si="4">D37</f>
        <v>0</v>
      </c>
      <c r="E36" s="28">
        <f t="shared" si="4"/>
        <v>0</v>
      </c>
    </row>
    <row r="37" spans="1:9" hidden="1">
      <c r="A37" s="602" t="s">
        <v>120</v>
      </c>
      <c r="B37" s="865" t="s">
        <v>119</v>
      </c>
      <c r="C37" s="603">
        <f>C38</f>
        <v>0</v>
      </c>
      <c r="D37" s="603">
        <f t="shared" si="4"/>
        <v>0</v>
      </c>
      <c r="E37" s="603">
        <f t="shared" si="4"/>
        <v>0</v>
      </c>
    </row>
    <row r="38" spans="1:9" hidden="1">
      <c r="A38" s="602" t="s">
        <v>898</v>
      </c>
      <c r="B38" s="865" t="s">
        <v>897</v>
      </c>
      <c r="C38" s="603">
        <f>C39</f>
        <v>0</v>
      </c>
      <c r="D38" s="603">
        <f t="shared" si="4"/>
        <v>0</v>
      </c>
      <c r="E38" s="603">
        <f t="shared" si="4"/>
        <v>0</v>
      </c>
    </row>
    <row r="39" spans="1:9" ht="25.5" hidden="1">
      <c r="A39" s="602" t="s">
        <v>896</v>
      </c>
      <c r="B39" s="865" t="s">
        <v>895</v>
      </c>
      <c r="C39" s="603">
        <v>0</v>
      </c>
      <c r="D39" s="414">
        <v>0</v>
      </c>
      <c r="E39" s="414">
        <v>0</v>
      </c>
      <c r="G39" s="585"/>
      <c r="H39" s="468"/>
    </row>
    <row r="40" spans="1:9" ht="30">
      <c r="A40" s="615" t="s">
        <v>312</v>
      </c>
      <c r="B40" s="617" t="s">
        <v>313</v>
      </c>
      <c r="C40" s="28">
        <f>C41</f>
        <v>0.5</v>
      </c>
      <c r="D40" s="28">
        <f>D41</f>
        <v>0.5</v>
      </c>
      <c r="E40" s="28">
        <f>E41</f>
        <v>0.5</v>
      </c>
    </row>
    <row r="41" spans="1:9" ht="76.5">
      <c r="A41" s="25" t="s">
        <v>314</v>
      </c>
      <c r="B41" s="10" t="s">
        <v>315</v>
      </c>
      <c r="C41" s="26">
        <f t="shared" ref="C41:E42" si="5">C42</f>
        <v>0.5</v>
      </c>
      <c r="D41" s="26">
        <f t="shared" si="5"/>
        <v>0.5</v>
      </c>
      <c r="E41" s="26">
        <f t="shared" si="5"/>
        <v>0.5</v>
      </c>
    </row>
    <row r="42" spans="1:9" ht="89.25">
      <c r="A42" s="25" t="s">
        <v>316</v>
      </c>
      <c r="B42" s="10" t="s">
        <v>317</v>
      </c>
      <c r="C42" s="26">
        <f t="shared" si="5"/>
        <v>0.5</v>
      </c>
      <c r="D42" s="26">
        <f t="shared" si="5"/>
        <v>0.5</v>
      </c>
      <c r="E42" s="26">
        <f t="shared" si="5"/>
        <v>0.5</v>
      </c>
    </row>
    <row r="43" spans="1:9" ht="89.25">
      <c r="A43" s="18" t="s">
        <v>318</v>
      </c>
      <c r="B43" s="10" t="s">
        <v>319</v>
      </c>
      <c r="C43" s="26">
        <f ca="1">РасчетДоходов!F191</f>
        <v>0.5</v>
      </c>
      <c r="D43" s="11">
        <f>C43</f>
        <v>0.5</v>
      </c>
      <c r="E43" s="11">
        <f>C43</f>
        <v>0.5</v>
      </c>
    </row>
    <row r="44" spans="1:9" ht="25.5" hidden="1">
      <c r="A44" s="29" t="s">
        <v>320</v>
      </c>
      <c r="B44" s="30" t="s">
        <v>321</v>
      </c>
      <c r="C44" s="28">
        <f t="shared" ref="C44:E45" si="6">C45</f>
        <v>0</v>
      </c>
      <c r="D44" s="28">
        <f t="shared" si="6"/>
        <v>0</v>
      </c>
      <c r="E44" s="28">
        <f t="shared" si="6"/>
        <v>0</v>
      </c>
    </row>
    <row r="45" spans="1:9" ht="60" hidden="1">
      <c r="A45" s="31" t="s">
        <v>322</v>
      </c>
      <c r="B45" s="32" t="s">
        <v>323</v>
      </c>
      <c r="C45" s="26">
        <f t="shared" si="6"/>
        <v>0</v>
      </c>
      <c r="D45" s="26">
        <f t="shared" si="6"/>
        <v>0</v>
      </c>
      <c r="E45" s="26">
        <f t="shared" si="6"/>
        <v>0</v>
      </c>
    </row>
    <row r="46" spans="1:9" ht="96" hidden="1">
      <c r="A46" s="31" t="s">
        <v>324</v>
      </c>
      <c r="B46" s="33" t="s">
        <v>325</v>
      </c>
      <c r="C46" s="26">
        <f>ROUND(0/1000,1)</f>
        <v>0</v>
      </c>
      <c r="D46" s="11">
        <v>0</v>
      </c>
      <c r="E46" s="11">
        <v>0</v>
      </c>
      <c r="G46" s="898" t="s">
        <v>603</v>
      </c>
      <c r="H46" s="898"/>
      <c r="I46" s="133"/>
    </row>
    <row r="47" spans="1:9" ht="24.75" customHeight="1" thickBot="1">
      <c r="A47" s="611" t="s">
        <v>326</v>
      </c>
      <c r="B47" s="618" t="s">
        <v>327</v>
      </c>
      <c r="C47" s="13">
        <f>C48+C93+C97</f>
        <v>24823.5</v>
      </c>
      <c r="D47" s="13">
        <f>D48+D93+D97</f>
        <v>24779.800000000003</v>
      </c>
      <c r="E47" s="13">
        <f>E48+E93+E97</f>
        <v>24812.6</v>
      </c>
    </row>
    <row r="48" spans="1:9" ht="46.5" thickTop="1" thickBot="1">
      <c r="A48" s="611" t="s">
        <v>328</v>
      </c>
      <c r="B48" s="543" t="s">
        <v>329</v>
      </c>
      <c r="C48" s="28">
        <f>C49+C56+C60+C66</f>
        <v>24823.5</v>
      </c>
      <c r="D48" s="28">
        <f>D49+D56+D60+D66</f>
        <v>24779.800000000003</v>
      </c>
      <c r="E48" s="28">
        <f>E49+E56+E60+E66</f>
        <v>24812.6</v>
      </c>
    </row>
    <row r="49" spans="1:14" ht="30">
      <c r="A49" s="611" t="s">
        <v>811</v>
      </c>
      <c r="B49" s="12" t="s">
        <v>330</v>
      </c>
      <c r="C49" s="13">
        <f>C50+C52+C54</f>
        <v>12329.699999999999</v>
      </c>
      <c r="D49" s="13">
        <f>D50+D52+D54</f>
        <v>12363.400000000001</v>
      </c>
      <c r="E49" s="13">
        <f>E50+E52+E54</f>
        <v>12297.8</v>
      </c>
    </row>
    <row r="50" spans="1:14">
      <c r="A50" s="23" t="s">
        <v>812</v>
      </c>
      <c r="B50" s="24" t="s">
        <v>331</v>
      </c>
      <c r="C50" s="34">
        <f>C51</f>
        <v>2076.6999999999998</v>
      </c>
      <c r="D50" s="20">
        <f>D51</f>
        <v>2145.5</v>
      </c>
      <c r="E50" s="20">
        <f>E51</f>
        <v>2120.5</v>
      </c>
    </row>
    <row r="51" spans="1:14" ht="38.25">
      <c r="A51" s="18" t="s">
        <v>813</v>
      </c>
      <c r="B51" s="36" t="s">
        <v>91</v>
      </c>
      <c r="C51" s="41">
        <v>2076.6999999999998</v>
      </c>
      <c r="D51" s="35">
        <v>2145.5</v>
      </c>
      <c r="E51" s="35">
        <v>2120.5</v>
      </c>
    </row>
    <row r="52" spans="1:14" ht="38.25">
      <c r="A52" s="23" t="s">
        <v>92</v>
      </c>
      <c r="B52" s="24" t="s">
        <v>93</v>
      </c>
      <c r="C52" s="34">
        <f>C53</f>
        <v>1640.6</v>
      </c>
      <c r="D52" s="20">
        <f>D53</f>
        <v>1821.8</v>
      </c>
      <c r="E52" s="20">
        <f>E53</f>
        <v>2014.9</v>
      </c>
    </row>
    <row r="53" spans="1:14" ht="38.25">
      <c r="A53" s="18" t="s">
        <v>94</v>
      </c>
      <c r="B53" s="36" t="s">
        <v>95</v>
      </c>
      <c r="C53" s="41">
        <v>1640.6</v>
      </c>
      <c r="D53" s="35">
        <v>1821.8</v>
      </c>
      <c r="E53" s="35">
        <v>2014.9</v>
      </c>
    </row>
    <row r="54" spans="1:14">
      <c r="A54" s="539" t="s">
        <v>814</v>
      </c>
      <c r="B54" s="812" t="s">
        <v>332</v>
      </c>
      <c r="C54" s="540">
        <f>C55</f>
        <v>8612.4</v>
      </c>
      <c r="D54" s="524">
        <f>D55</f>
        <v>8396.1</v>
      </c>
      <c r="E54" s="524">
        <f>E55</f>
        <v>8162.4</v>
      </c>
    </row>
    <row r="55" spans="1:14">
      <c r="A55" s="25" t="s">
        <v>815</v>
      </c>
      <c r="B55" s="813" t="s">
        <v>967</v>
      </c>
      <c r="C55" s="26">
        <v>8612.4</v>
      </c>
      <c r="D55" s="11">
        <v>8396.1</v>
      </c>
      <c r="E55" s="11">
        <v>8162.4</v>
      </c>
      <c r="F55" s="38"/>
      <c r="G55" s="585"/>
      <c r="J55" s="819"/>
      <c r="K55" s="819"/>
      <c r="L55" s="819"/>
      <c r="M55" s="819"/>
      <c r="N55" s="820"/>
    </row>
    <row r="56" spans="1:14" ht="45" hidden="1">
      <c r="A56" s="500" t="s">
        <v>841</v>
      </c>
      <c r="B56" s="499" t="s">
        <v>839</v>
      </c>
      <c r="C56" s="28">
        <f>C57</f>
        <v>0</v>
      </c>
      <c r="D56" s="28">
        <f t="shared" ref="D56:E58" si="7">D57</f>
        <v>0</v>
      </c>
      <c r="E56" s="28">
        <f t="shared" si="7"/>
        <v>0</v>
      </c>
      <c r="F56" s="38"/>
      <c r="G56" s="469"/>
      <c r="H56" s="38"/>
      <c r="I56" s="38"/>
      <c r="J56" s="38"/>
    </row>
    <row r="57" spans="1:14" hidden="1">
      <c r="A57" s="537" t="s">
        <v>837</v>
      </c>
      <c r="B57" s="538" t="s">
        <v>838</v>
      </c>
      <c r="C57" s="88">
        <f>C58</f>
        <v>0</v>
      </c>
      <c r="D57" s="88">
        <f t="shared" si="7"/>
        <v>0</v>
      </c>
      <c r="E57" s="88">
        <f t="shared" si="7"/>
        <v>0</v>
      </c>
      <c r="F57" s="38"/>
      <c r="G57" s="469"/>
      <c r="H57" s="38"/>
      <c r="I57" s="38"/>
      <c r="J57" s="38"/>
    </row>
    <row r="58" spans="1:14" hidden="1">
      <c r="A58" s="501" t="s">
        <v>842</v>
      </c>
      <c r="B58" s="546" t="s">
        <v>840</v>
      </c>
      <c r="C58" s="26">
        <f>C59</f>
        <v>0</v>
      </c>
      <c r="D58" s="11">
        <f t="shared" si="7"/>
        <v>0</v>
      </c>
      <c r="E58" s="11">
        <f t="shared" si="7"/>
        <v>0</v>
      </c>
      <c r="F58" s="38"/>
      <c r="I58" s="38"/>
      <c r="J58" s="38"/>
    </row>
    <row r="59" spans="1:14" s="38" customFormat="1" ht="76.5" hidden="1">
      <c r="A59" s="604" t="s">
        <v>842</v>
      </c>
      <c r="B59" s="605" t="s">
        <v>825</v>
      </c>
      <c r="C59" s="603">
        <v>0</v>
      </c>
      <c r="D59" s="414">
        <v>0</v>
      </c>
      <c r="E59" s="414">
        <v>0</v>
      </c>
      <c r="G59" s="585"/>
      <c r="H59" s="547"/>
    </row>
    <row r="60" spans="1:14" ht="30.75" thickBot="1">
      <c r="A60" s="39" t="s">
        <v>968</v>
      </c>
      <c r="B60" s="543" t="s">
        <v>333</v>
      </c>
      <c r="C60" s="40">
        <f>C61+C64</f>
        <v>102.30000000000001</v>
      </c>
      <c r="D60" s="40">
        <f>D61+D64</f>
        <v>103.2</v>
      </c>
      <c r="E60" s="40">
        <f>E61+E64</f>
        <v>44.6</v>
      </c>
    </row>
    <row r="61" spans="1:14" ht="45">
      <c r="A61" s="7" t="s">
        <v>816</v>
      </c>
      <c r="B61" s="12" t="s">
        <v>334</v>
      </c>
      <c r="C61" s="542">
        <f t="shared" ref="C61:E62" si="8">C62</f>
        <v>44.6</v>
      </c>
      <c r="D61" s="542">
        <f t="shared" si="8"/>
        <v>44.6</v>
      </c>
      <c r="E61" s="542">
        <f t="shared" si="8"/>
        <v>44.6</v>
      </c>
    </row>
    <row r="62" spans="1:14" ht="38.25">
      <c r="A62" s="18" t="s">
        <v>817</v>
      </c>
      <c r="B62" s="21" t="s">
        <v>335</v>
      </c>
      <c r="C62" s="41">
        <f t="shared" si="8"/>
        <v>44.6</v>
      </c>
      <c r="D62" s="26">
        <f t="shared" si="8"/>
        <v>44.6</v>
      </c>
      <c r="E62" s="26">
        <f t="shared" si="8"/>
        <v>44.6</v>
      </c>
    </row>
    <row r="63" spans="1:14" ht="51">
      <c r="A63" s="18" t="s">
        <v>817</v>
      </c>
      <c r="B63" s="42" t="s">
        <v>336</v>
      </c>
      <c r="C63" s="41">
        <f>ROUND((44600)/1000,1)</f>
        <v>44.6</v>
      </c>
      <c r="D63" s="41">
        <f>ROUND((44600)/1000,1)</f>
        <v>44.6</v>
      </c>
      <c r="E63" s="41">
        <f>ROUND((44600)/1000,1)</f>
        <v>44.6</v>
      </c>
      <c r="G63" s="547"/>
    </row>
    <row r="64" spans="1:14" ht="45">
      <c r="A64" s="82" t="s">
        <v>818</v>
      </c>
      <c r="B64" s="12" t="s">
        <v>337</v>
      </c>
      <c r="C64" s="542">
        <f>C65</f>
        <v>57.7</v>
      </c>
      <c r="D64" s="542">
        <f>D65</f>
        <v>58.6</v>
      </c>
      <c r="E64" s="542">
        <f>E65</f>
        <v>0</v>
      </c>
    </row>
    <row r="65" spans="1:8" ht="38.25">
      <c r="A65" s="18" t="s">
        <v>819</v>
      </c>
      <c r="B65" s="21" t="s">
        <v>338</v>
      </c>
      <c r="C65" s="26">
        <f>59.1-1.4</f>
        <v>57.7</v>
      </c>
      <c r="D65" s="26">
        <f>59.1-0.5</f>
        <v>58.6</v>
      </c>
      <c r="E65" s="26">
        <v>0</v>
      </c>
      <c r="G65" s="585"/>
    </row>
    <row r="66" spans="1:8" ht="15.75" thickBot="1">
      <c r="A66" s="619" t="s">
        <v>969</v>
      </c>
      <c r="B66" s="614" t="s">
        <v>339</v>
      </c>
      <c r="C66" s="40">
        <f>C67+C73</f>
        <v>12391.5</v>
      </c>
      <c r="D66" s="28">
        <f>D67+D73</f>
        <v>12313.2</v>
      </c>
      <c r="E66" s="28">
        <f>E67+E73</f>
        <v>12470.2</v>
      </c>
    </row>
    <row r="67" spans="1:8" ht="75">
      <c r="A67" s="611" t="s">
        <v>820</v>
      </c>
      <c r="B67" s="12" t="s">
        <v>340</v>
      </c>
      <c r="C67" s="542">
        <f>C68</f>
        <v>24.6</v>
      </c>
      <c r="D67" s="540">
        <f>D68</f>
        <v>25.5</v>
      </c>
      <c r="E67" s="540">
        <f>E68</f>
        <v>26.6</v>
      </c>
    </row>
    <row r="68" spans="1:8" ht="78" customHeight="1">
      <c r="A68" s="18" t="s">
        <v>821</v>
      </c>
      <c r="B68" s="21" t="s">
        <v>341</v>
      </c>
      <c r="C68" s="41">
        <f>C69+C71</f>
        <v>24.6</v>
      </c>
      <c r="D68" s="41">
        <f>D69+D71</f>
        <v>25.5</v>
      </c>
      <c r="E68" s="41">
        <f>E69+E71</f>
        <v>26.6</v>
      </c>
    </row>
    <row r="69" spans="1:8" ht="51">
      <c r="A69" s="18" t="s">
        <v>821</v>
      </c>
      <c r="B69" s="42" t="s">
        <v>191</v>
      </c>
      <c r="C69" s="26">
        <f>C70</f>
        <v>13.4</v>
      </c>
      <c r="D69" s="26">
        <f>D70</f>
        <v>13.9</v>
      </c>
      <c r="E69" s="26">
        <f>E70</f>
        <v>14.5</v>
      </c>
    </row>
    <row r="70" spans="1:8" ht="76.5">
      <c r="A70" s="18" t="s">
        <v>821</v>
      </c>
      <c r="B70" s="43" t="s">
        <v>190</v>
      </c>
      <c r="C70" s="26">
        <v>13.4</v>
      </c>
      <c r="D70" s="26">
        <v>13.9</v>
      </c>
      <c r="E70" s="26">
        <v>14.5</v>
      </c>
    </row>
    <row r="71" spans="1:8" ht="51">
      <c r="A71" s="25" t="s">
        <v>821</v>
      </c>
      <c r="B71" s="42" t="s">
        <v>96</v>
      </c>
      <c r="C71" s="41">
        <f>C72</f>
        <v>11.2</v>
      </c>
      <c r="D71" s="41">
        <f>D72</f>
        <v>11.6</v>
      </c>
      <c r="E71" s="41">
        <f>E72</f>
        <v>12.1</v>
      </c>
      <c r="H71" s="816"/>
    </row>
    <row r="72" spans="1:8" ht="38.25">
      <c r="A72" s="25" t="s">
        <v>821</v>
      </c>
      <c r="B72" s="43" t="s">
        <v>192</v>
      </c>
      <c r="C72" s="890">
        <v>11.2</v>
      </c>
      <c r="D72" s="41">
        <v>11.6</v>
      </c>
      <c r="E72" s="41">
        <v>12.1</v>
      </c>
    </row>
    <row r="73" spans="1:8" ht="30">
      <c r="A73" s="615" t="s">
        <v>822</v>
      </c>
      <c r="B73" s="37" t="s">
        <v>342</v>
      </c>
      <c r="C73" s="542">
        <f>C74</f>
        <v>12366.9</v>
      </c>
      <c r="D73" s="542">
        <f>D74</f>
        <v>12287.7</v>
      </c>
      <c r="E73" s="542">
        <f>E74</f>
        <v>12443.6</v>
      </c>
    </row>
    <row r="74" spans="1:8" s="38" customFormat="1" ht="25.5">
      <c r="A74" s="25" t="s">
        <v>823</v>
      </c>
      <c r="B74" s="44" t="s">
        <v>343</v>
      </c>
      <c r="C74" s="41">
        <f>C75+C78+C80+C84+C87+C90+C92</f>
        <v>12366.9</v>
      </c>
      <c r="D74" s="41">
        <f>D75+D78+D80+D84+D87+D90+D92</f>
        <v>12287.7</v>
      </c>
      <c r="E74" s="41">
        <f>E75+E78+E80+E84+E87+E90+E92</f>
        <v>12443.6</v>
      </c>
    </row>
    <row r="75" spans="1:8" s="38" customFormat="1" ht="51">
      <c r="A75" s="25" t="s">
        <v>823</v>
      </c>
      <c r="B75" s="42" t="s">
        <v>96</v>
      </c>
      <c r="C75" s="41">
        <f>SUM(C76:C77)</f>
        <v>219.89999999999998</v>
      </c>
      <c r="D75" s="41">
        <f>SUM(D76:D77)</f>
        <v>224.1</v>
      </c>
      <c r="E75" s="41">
        <f>SUM(E76:E77)</f>
        <v>228.5</v>
      </c>
      <c r="H75" s="816"/>
    </row>
    <row r="76" spans="1:8" s="38" customFormat="1" ht="25.5">
      <c r="A76" s="25" t="s">
        <v>823</v>
      </c>
      <c r="B76" s="43" t="s">
        <v>235</v>
      </c>
      <c r="C76" s="890">
        <v>113.8</v>
      </c>
      <c r="D76" s="26">
        <v>113.8</v>
      </c>
      <c r="E76" s="26">
        <v>113.8</v>
      </c>
    </row>
    <row r="77" spans="1:8" s="38" customFormat="1" ht="51">
      <c r="A77" s="25" t="s">
        <v>823</v>
      </c>
      <c r="B77" s="43" t="s">
        <v>236</v>
      </c>
      <c r="C77" s="893">
        <v>106.1</v>
      </c>
      <c r="D77" s="26">
        <v>110.3</v>
      </c>
      <c r="E77" s="26">
        <v>114.7</v>
      </c>
    </row>
    <row r="78" spans="1:8" s="38" customFormat="1" ht="89.25">
      <c r="A78" s="25" t="s">
        <v>823</v>
      </c>
      <c r="B78" s="42" t="s">
        <v>193</v>
      </c>
      <c r="C78" s="26">
        <f>C79</f>
        <v>22</v>
      </c>
      <c r="D78" s="26">
        <f>D79</f>
        <v>22.9</v>
      </c>
      <c r="E78" s="26">
        <f>E79</f>
        <v>23.8</v>
      </c>
    </row>
    <row r="79" spans="1:8" s="38" customFormat="1" ht="38.25">
      <c r="A79" s="25" t="s">
        <v>823</v>
      </c>
      <c r="B79" s="43" t="s">
        <v>186</v>
      </c>
      <c r="C79" s="890">
        <v>22</v>
      </c>
      <c r="D79" s="26">
        <v>22.9</v>
      </c>
      <c r="E79" s="26">
        <v>23.8</v>
      </c>
    </row>
    <row r="80" spans="1:8" s="38" customFormat="1" ht="102">
      <c r="A80" s="25" t="s">
        <v>823</v>
      </c>
      <c r="B80" s="42" t="s">
        <v>194</v>
      </c>
      <c r="C80" s="26">
        <f>SUM(C81:C83)</f>
        <v>6380.6</v>
      </c>
      <c r="D80" s="26">
        <f>SUM(D81:D83)</f>
        <v>6730.2000000000007</v>
      </c>
      <c r="E80" s="26">
        <f>SUM(E81:E83)</f>
        <v>6668.4</v>
      </c>
    </row>
    <row r="81" spans="1:9" s="38" customFormat="1" ht="25.5">
      <c r="A81" s="25" t="s">
        <v>823</v>
      </c>
      <c r="B81" s="43" t="s">
        <v>346</v>
      </c>
      <c r="C81" s="890">
        <v>3495.2</v>
      </c>
      <c r="D81" s="26">
        <v>3644.8</v>
      </c>
      <c r="E81" s="26">
        <v>3783</v>
      </c>
    </row>
    <row r="82" spans="1:9" s="38" customFormat="1" ht="38.25">
      <c r="A82" s="9" t="s">
        <v>823</v>
      </c>
      <c r="B82" s="43" t="s">
        <v>187</v>
      </c>
      <c r="C82" s="890">
        <v>2885.4</v>
      </c>
      <c r="D82" s="26">
        <v>2885.4</v>
      </c>
      <c r="E82" s="26">
        <v>2885.4</v>
      </c>
    </row>
    <row r="83" spans="1:9" s="38" customFormat="1" ht="51">
      <c r="A83" s="25" t="s">
        <v>823</v>
      </c>
      <c r="B83" s="43" t="s">
        <v>188</v>
      </c>
      <c r="C83" s="26">
        <v>0</v>
      </c>
      <c r="D83" s="26">
        <v>200</v>
      </c>
      <c r="E83" s="26">
        <v>0</v>
      </c>
    </row>
    <row r="84" spans="1:9" s="38" customFormat="1" ht="63.75">
      <c r="A84" s="25" t="s">
        <v>823</v>
      </c>
      <c r="B84" s="42" t="s">
        <v>195</v>
      </c>
      <c r="C84" s="26">
        <f>SUM(C85:C86)</f>
        <v>795.9</v>
      </c>
      <c r="D84" s="26">
        <f>SUM(D85:D86)</f>
        <v>864.40000000000009</v>
      </c>
      <c r="E84" s="26">
        <f>SUM(E85:E86)</f>
        <v>898.9</v>
      </c>
    </row>
    <row r="85" spans="1:9" s="38" customFormat="1">
      <c r="A85" s="25" t="s">
        <v>823</v>
      </c>
      <c r="B85" s="43" t="s">
        <v>344</v>
      </c>
      <c r="C85" s="890">
        <v>281</v>
      </c>
      <c r="D85" s="26">
        <v>292.2</v>
      </c>
      <c r="E85" s="26">
        <v>303.89999999999998</v>
      </c>
    </row>
    <row r="86" spans="1:9" s="38" customFormat="1">
      <c r="A86" s="25" t="s">
        <v>823</v>
      </c>
      <c r="B86" s="46" t="s">
        <v>345</v>
      </c>
      <c r="C86" s="890">
        <v>514.9</v>
      </c>
      <c r="D86" s="26">
        <v>572.20000000000005</v>
      </c>
      <c r="E86" s="26">
        <v>595</v>
      </c>
    </row>
    <row r="87" spans="1:9" s="38" customFormat="1" ht="76.5">
      <c r="A87" s="25" t="s">
        <v>823</v>
      </c>
      <c r="B87" s="42" t="s">
        <v>189</v>
      </c>
      <c r="C87" s="26">
        <f>SUM(C88:C89)</f>
        <v>673.4</v>
      </c>
      <c r="D87" s="26">
        <f>SUM(D88:D89)</f>
        <v>0</v>
      </c>
      <c r="E87" s="26">
        <f>SUM(E88:E89)</f>
        <v>0</v>
      </c>
    </row>
    <row r="88" spans="1:9" s="38" customFormat="1" ht="38.25">
      <c r="A88" s="25" t="s">
        <v>823</v>
      </c>
      <c r="B88" s="43" t="s">
        <v>234</v>
      </c>
      <c r="C88" s="890">
        <v>312.39999999999998</v>
      </c>
      <c r="D88" s="26">
        <v>0</v>
      </c>
      <c r="E88" s="26">
        <v>0</v>
      </c>
    </row>
    <row r="89" spans="1:9" s="38" customFormat="1" ht="38.25">
      <c r="A89" s="25" t="s">
        <v>823</v>
      </c>
      <c r="B89" s="43" t="s">
        <v>233</v>
      </c>
      <c r="C89" s="890">
        <v>361</v>
      </c>
      <c r="D89" s="26">
        <v>0</v>
      </c>
      <c r="E89" s="26">
        <v>0</v>
      </c>
    </row>
    <row r="90" spans="1:9" ht="51">
      <c r="A90" s="25" t="s">
        <v>823</v>
      </c>
      <c r="B90" s="42" t="s">
        <v>196</v>
      </c>
      <c r="C90" s="26">
        <f>C91</f>
        <v>4224.6000000000004</v>
      </c>
      <c r="D90" s="26">
        <f>D91</f>
        <v>4393.6000000000004</v>
      </c>
      <c r="E90" s="26">
        <f>E91</f>
        <v>4569.3999999999996</v>
      </c>
      <c r="F90" s="38"/>
      <c r="H90" s="38"/>
      <c r="I90" s="38"/>
    </row>
    <row r="91" spans="1:9" ht="76.5">
      <c r="A91" s="25" t="s">
        <v>823</v>
      </c>
      <c r="B91" s="43" t="s">
        <v>185</v>
      </c>
      <c r="C91" s="603">
        <v>4224.6000000000004</v>
      </c>
      <c r="D91" s="26">
        <v>4393.6000000000004</v>
      </c>
      <c r="E91" s="26">
        <v>4569.3999999999996</v>
      </c>
      <c r="F91" s="38"/>
      <c r="H91" s="38"/>
      <c r="I91" s="38"/>
    </row>
    <row r="92" spans="1:9" s="38" customFormat="1" ht="25.5">
      <c r="A92" s="25" t="s">
        <v>823</v>
      </c>
      <c r="B92" s="47" t="s">
        <v>970</v>
      </c>
      <c r="C92" s="26">
        <v>50.5</v>
      </c>
      <c r="D92" s="26">
        <v>52.5</v>
      </c>
      <c r="E92" s="26">
        <v>54.6</v>
      </c>
    </row>
    <row r="93" spans="1:9" s="38" customFormat="1" ht="75.75" hidden="1" thickBot="1">
      <c r="A93" s="39" t="s">
        <v>884</v>
      </c>
      <c r="B93" s="543" t="s">
        <v>889</v>
      </c>
      <c r="C93" s="544">
        <f>C94</f>
        <v>0</v>
      </c>
      <c r="D93" s="544">
        <f t="shared" ref="D93:E98" si="9">D94</f>
        <v>0</v>
      </c>
      <c r="E93" s="544">
        <f t="shared" si="9"/>
        <v>0</v>
      </c>
    </row>
    <row r="94" spans="1:9" s="38" customFormat="1" ht="89.25" hidden="1">
      <c r="A94" s="539" t="s">
        <v>885</v>
      </c>
      <c r="B94" s="541" t="s">
        <v>890</v>
      </c>
      <c r="C94" s="545">
        <f>C95</f>
        <v>0</v>
      </c>
      <c r="D94" s="545">
        <f t="shared" si="9"/>
        <v>0</v>
      </c>
      <c r="E94" s="545">
        <f t="shared" si="9"/>
        <v>0</v>
      </c>
    </row>
    <row r="95" spans="1:9" s="38" customFormat="1" ht="76.5" hidden="1">
      <c r="A95" s="18" t="s">
        <v>886</v>
      </c>
      <c r="B95" s="21" t="s">
        <v>891</v>
      </c>
      <c r="C95" s="41">
        <f>C96</f>
        <v>0</v>
      </c>
      <c r="D95" s="41">
        <f t="shared" si="9"/>
        <v>0</v>
      </c>
      <c r="E95" s="41">
        <f t="shared" si="9"/>
        <v>0</v>
      </c>
    </row>
    <row r="96" spans="1:9" s="38" customFormat="1" ht="51" hidden="1">
      <c r="A96" s="604" t="s">
        <v>887</v>
      </c>
      <c r="B96" s="605" t="s">
        <v>888</v>
      </c>
      <c r="C96" s="414">
        <v>0</v>
      </c>
      <c r="D96" s="603">
        <v>0</v>
      </c>
      <c r="E96" s="603">
        <v>0</v>
      </c>
    </row>
    <row r="97" spans="1:7" s="38" customFormat="1" ht="45.75" hidden="1" thickBot="1">
      <c r="A97" s="39" t="s">
        <v>900</v>
      </c>
      <c r="B97" s="543" t="s">
        <v>901</v>
      </c>
      <c r="C97" s="544">
        <f>C98</f>
        <v>0</v>
      </c>
      <c r="D97" s="544">
        <f t="shared" si="9"/>
        <v>0</v>
      </c>
      <c r="E97" s="544">
        <f t="shared" si="9"/>
        <v>0</v>
      </c>
    </row>
    <row r="98" spans="1:7" s="38" customFormat="1" ht="51" hidden="1">
      <c r="A98" s="18" t="s">
        <v>903</v>
      </c>
      <c r="B98" s="44" t="s">
        <v>902</v>
      </c>
      <c r="C98" s="11">
        <f>C99</f>
        <v>0</v>
      </c>
      <c r="D98" s="26">
        <f t="shared" si="9"/>
        <v>0</v>
      </c>
      <c r="E98" s="26">
        <f t="shared" si="9"/>
        <v>0</v>
      </c>
    </row>
    <row r="99" spans="1:7" s="38" customFormat="1" ht="51" hidden="1">
      <c r="A99" s="604" t="s">
        <v>904</v>
      </c>
      <c r="B99" s="605" t="s">
        <v>905</v>
      </c>
      <c r="C99" s="603">
        <f>ROUND((0)/1000,1)</f>
        <v>0</v>
      </c>
      <c r="D99" s="414">
        <v>0</v>
      </c>
      <c r="E99" s="414">
        <v>0</v>
      </c>
      <c r="F99" s="1"/>
      <c r="G99" s="585"/>
    </row>
    <row r="100" spans="1:7" s="38" customFormat="1">
      <c r="A100" s="48"/>
      <c r="B100" s="49" t="s">
        <v>348</v>
      </c>
      <c r="C100" s="34">
        <f>C7</f>
        <v>31051.200000000001</v>
      </c>
      <c r="D100" s="34">
        <f>D7</f>
        <v>31244.300000000003</v>
      </c>
      <c r="E100" s="34">
        <f>E7</f>
        <v>29168.799999999999</v>
      </c>
    </row>
    <row r="101" spans="1:7" s="38" customFormat="1"/>
    <row r="102" spans="1:7" s="38" customFormat="1">
      <c r="B102" s="50"/>
      <c r="C102" s="50"/>
      <c r="D102" s="50"/>
    </row>
    <row r="103" spans="1:7" s="38" customFormat="1">
      <c r="B103" s="51"/>
      <c r="C103" s="51"/>
      <c r="D103" s="51"/>
    </row>
    <row r="104" spans="1:7" s="38" customFormat="1">
      <c r="B104" s="52"/>
      <c r="C104" s="51"/>
      <c r="D104" s="51"/>
    </row>
    <row r="105" spans="1:7">
      <c r="A105" s="53"/>
    </row>
    <row r="106" spans="1:7">
      <c r="A106" s="53"/>
    </row>
    <row r="107" spans="1:7">
      <c r="A107" s="53"/>
    </row>
    <row r="108" spans="1:7">
      <c r="A108" s="53"/>
    </row>
    <row r="109" spans="1:7">
      <c r="A109" s="53"/>
    </row>
    <row r="110" spans="1:7">
      <c r="A110" s="53"/>
    </row>
    <row r="111" spans="1:7">
      <c r="A111" s="53"/>
    </row>
    <row r="112" spans="1:7">
      <c r="A112" s="53"/>
    </row>
    <row r="113" spans="1:1">
      <c r="A113" s="53"/>
    </row>
    <row r="114" spans="1:1">
      <c r="A114" s="53"/>
    </row>
    <row r="115" spans="1:1">
      <c r="A115" s="53"/>
    </row>
    <row r="116" spans="1:1">
      <c r="A116" s="53"/>
    </row>
  </sheetData>
  <mergeCells count="9">
    <mergeCell ref="G46:H46"/>
    <mergeCell ref="C1:E1"/>
    <mergeCell ref="A2:E2"/>
    <mergeCell ref="A3:E3"/>
    <mergeCell ref="A5:A6"/>
    <mergeCell ref="B5:B6"/>
    <mergeCell ref="C5:C6"/>
    <mergeCell ref="D5:E5"/>
    <mergeCell ref="A4:E4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85" orientation="portrait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J68"/>
  <sheetViews>
    <sheetView showZeros="0" topLeftCell="A46" workbookViewId="0">
      <selection activeCell="A78" sqref="A78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4" width="9.140625" style="669" customWidth="1"/>
    <col min="255" max="255" width="49.42578125" style="669" customWidth="1"/>
    <col min="256" max="16384" width="3.5703125" style="669"/>
  </cols>
  <sheetData>
    <row r="1" spans="1:10" s="709" customFormat="1" ht="17.25" customHeight="1">
      <c r="A1" s="708"/>
      <c r="D1" s="968" t="s">
        <v>552</v>
      </c>
      <c r="E1" s="968"/>
      <c r="F1" s="968"/>
      <c r="G1" s="968"/>
      <c r="H1" s="968"/>
      <c r="I1" s="717"/>
    </row>
    <row r="2" spans="1:10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7"/>
      <c r="J2" s="781"/>
    </row>
    <row r="3" spans="1:10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7"/>
      <c r="J3" s="712"/>
    </row>
    <row r="4" spans="1:10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7"/>
    </row>
    <row r="5" spans="1:10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7"/>
    </row>
    <row r="6" spans="1:10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4"/>
      <c r="J6" s="766"/>
    </row>
    <row r="7" spans="1:10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  <c r="J7" s="767"/>
    </row>
    <row r="8" spans="1:10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4"/>
      <c r="J8" s="782"/>
    </row>
    <row r="9" spans="1:10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  <c r="J9" s="767"/>
    </row>
    <row r="10" spans="1:10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  <c r="J10" s="767"/>
    </row>
    <row r="11" spans="1:10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  <c r="J11" s="719"/>
    </row>
    <row r="12" spans="1:10" s="170" customFormat="1" ht="33.75" customHeight="1">
      <c r="A12" s="988" t="s">
        <v>376</v>
      </c>
      <c r="B12" s="988"/>
      <c r="C12" s="988"/>
      <c r="D12" s="988"/>
      <c r="E12" s="988"/>
      <c r="F12" s="988"/>
      <c r="G12" s="988"/>
      <c r="H12" s="988"/>
      <c r="I12" s="574"/>
    </row>
    <row r="13" spans="1:10" s="170" customFormat="1" ht="6" customHeight="1">
      <c r="E13" s="722"/>
      <c r="F13" s="722"/>
      <c r="G13" s="722"/>
      <c r="H13" s="722"/>
      <c r="I13" s="574"/>
    </row>
    <row r="14" spans="1:10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574"/>
    </row>
    <row r="15" spans="1:10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68"/>
    </row>
    <row r="16" spans="1:10">
      <c r="A16" s="512" t="s">
        <v>852</v>
      </c>
      <c r="B16" s="529" t="s">
        <v>358</v>
      </c>
      <c r="C16" s="529" t="s">
        <v>377</v>
      </c>
      <c r="D16" s="529" t="s">
        <v>708</v>
      </c>
      <c r="E16" s="529" t="s">
        <v>570</v>
      </c>
      <c r="F16" s="534" t="s">
        <v>570</v>
      </c>
      <c r="G16" s="511"/>
      <c r="H16" s="528">
        <f>H17+H24+H45+H47+H49+H53</f>
        <v>3035.1</v>
      </c>
    </row>
    <row r="17" spans="1:10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10">
      <c r="A18" s="514" t="s">
        <v>571</v>
      </c>
      <c r="B18" s="728"/>
      <c r="C18" s="728"/>
      <c r="D18" s="728"/>
      <c r="E18" s="529"/>
      <c r="F18" s="507">
        <v>211</v>
      </c>
      <c r="G18" s="507"/>
      <c r="H18" s="730"/>
      <c r="J18" s="691"/>
    </row>
    <row r="19" spans="1:10">
      <c r="A19" s="514" t="s">
        <v>854</v>
      </c>
      <c r="B19" s="728"/>
      <c r="C19" s="728"/>
      <c r="D19" s="728"/>
      <c r="E19" s="728"/>
      <c r="F19" s="507">
        <v>212</v>
      </c>
      <c r="G19" s="507"/>
      <c r="H19" s="730">
        <f>H20</f>
        <v>0</v>
      </c>
      <c r="J19" s="691"/>
    </row>
    <row r="20" spans="1:10">
      <c r="A20" s="515" t="s">
        <v>572</v>
      </c>
      <c r="B20" s="732"/>
      <c r="C20" s="732"/>
      <c r="D20" s="732"/>
      <c r="E20" s="732"/>
      <c r="F20" s="508">
        <v>212</v>
      </c>
      <c r="G20" s="508">
        <v>610</v>
      </c>
      <c r="H20" s="264"/>
    </row>
    <row r="21" spans="1:10">
      <c r="A21" s="514" t="s">
        <v>855</v>
      </c>
      <c r="B21" s="728"/>
      <c r="C21" s="728"/>
      <c r="D21" s="728"/>
      <c r="E21" s="529"/>
      <c r="F21" s="507">
        <v>213</v>
      </c>
      <c r="G21" s="507"/>
      <c r="H21" s="730"/>
    </row>
    <row r="22" spans="1:10" ht="24">
      <c r="A22" s="514" t="s">
        <v>856</v>
      </c>
      <c r="B22" s="728"/>
      <c r="C22" s="728"/>
      <c r="D22" s="728"/>
      <c r="E22" s="728"/>
      <c r="F22" s="507">
        <v>214</v>
      </c>
      <c r="G22" s="507"/>
      <c r="H22" s="730">
        <f>H23</f>
        <v>0</v>
      </c>
    </row>
    <row r="23" spans="1:10">
      <c r="A23" s="515" t="s">
        <v>646</v>
      </c>
      <c r="B23" s="732"/>
      <c r="C23" s="732"/>
      <c r="D23" s="732"/>
      <c r="E23" s="732"/>
      <c r="F23" s="508">
        <v>214</v>
      </c>
      <c r="G23" s="508">
        <v>831</v>
      </c>
      <c r="H23" s="264"/>
    </row>
    <row r="24" spans="1:10">
      <c r="A24" s="513" t="s">
        <v>857</v>
      </c>
      <c r="B24" s="726" t="s">
        <v>358</v>
      </c>
      <c r="C24" s="726" t="s">
        <v>377</v>
      </c>
      <c r="D24" s="726" t="s">
        <v>381</v>
      </c>
      <c r="E24" s="726" t="s">
        <v>375</v>
      </c>
      <c r="F24" s="506">
        <v>220</v>
      </c>
      <c r="G24" s="506"/>
      <c r="H24" s="727">
        <f>H25+H26+H28+H33+H37</f>
        <v>3035.1</v>
      </c>
    </row>
    <row r="25" spans="1:10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10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10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10">
      <c r="A28" s="514" t="s">
        <v>578</v>
      </c>
      <c r="B28" s="728" t="s">
        <v>358</v>
      </c>
      <c r="C28" s="728" t="s">
        <v>377</v>
      </c>
      <c r="D28" s="728" t="s">
        <v>197</v>
      </c>
      <c r="E28" s="728" t="s">
        <v>640</v>
      </c>
      <c r="F28" s="507">
        <v>223</v>
      </c>
      <c r="G28" s="507"/>
      <c r="H28" s="730">
        <f>SUM(H29:H32)</f>
        <v>3035.1</v>
      </c>
    </row>
    <row r="29" spans="1:10">
      <c r="A29" s="515" t="s">
        <v>579</v>
      </c>
      <c r="B29" s="732" t="s">
        <v>358</v>
      </c>
      <c r="C29" s="732" t="s">
        <v>377</v>
      </c>
      <c r="D29" s="732" t="s">
        <v>197</v>
      </c>
      <c r="E29" s="732" t="s">
        <v>640</v>
      </c>
      <c r="F29" s="508">
        <v>223</v>
      </c>
      <c r="G29" s="508">
        <v>721</v>
      </c>
      <c r="H29" s="264">
        <f ca="1">рКомУсл!F29</f>
        <v>2448.1999999999998</v>
      </c>
    </row>
    <row r="30" spans="1:10">
      <c r="A30" s="515" t="s">
        <v>580</v>
      </c>
      <c r="B30" s="732" t="s">
        <v>358</v>
      </c>
      <c r="C30" s="732" t="s">
        <v>377</v>
      </c>
      <c r="D30" s="732" t="s">
        <v>197</v>
      </c>
      <c r="E30" s="732" t="s">
        <v>640</v>
      </c>
      <c r="F30" s="508">
        <v>223</v>
      </c>
      <c r="G30" s="508">
        <v>730</v>
      </c>
      <c r="H30" s="264">
        <f ca="1">рКомУсл!F30</f>
        <v>454.3</v>
      </c>
    </row>
    <row r="31" spans="1:10">
      <c r="A31" s="515" t="s">
        <v>581</v>
      </c>
      <c r="B31" s="732" t="s">
        <v>358</v>
      </c>
      <c r="C31" s="732" t="s">
        <v>377</v>
      </c>
      <c r="D31" s="732" t="s">
        <v>197</v>
      </c>
      <c r="E31" s="732" t="s">
        <v>640</v>
      </c>
      <c r="F31" s="508">
        <v>223</v>
      </c>
      <c r="G31" s="508">
        <v>740</v>
      </c>
      <c r="H31" s="264">
        <f ca="1">рКомУсл!F31+рКомУсл!F32</f>
        <v>54.6</v>
      </c>
    </row>
    <row r="32" spans="1:10">
      <c r="A32" s="895" t="s">
        <v>255</v>
      </c>
      <c r="B32" s="896" t="s">
        <v>358</v>
      </c>
      <c r="C32" s="896" t="s">
        <v>377</v>
      </c>
      <c r="D32" s="896" t="s">
        <v>197</v>
      </c>
      <c r="E32" s="896" t="s">
        <v>640</v>
      </c>
      <c r="F32" s="897">
        <v>223</v>
      </c>
      <c r="G32" s="508"/>
      <c r="H32" s="264">
        <v>78</v>
      </c>
    </row>
    <row r="33" spans="1:9">
      <c r="A33" s="514" t="s">
        <v>859</v>
      </c>
      <c r="B33" s="728"/>
      <c r="C33" s="728"/>
      <c r="D33" s="728"/>
      <c r="E33" s="728"/>
      <c r="F33" s="507">
        <v>225</v>
      </c>
      <c r="G33" s="507"/>
      <c r="H33" s="730">
        <f>SUM(H34:H36)</f>
        <v>0</v>
      </c>
    </row>
    <row r="34" spans="1:9">
      <c r="A34" s="437" t="s">
        <v>416</v>
      </c>
      <c r="B34" s="732"/>
      <c r="C34" s="732"/>
      <c r="D34" s="732"/>
      <c r="E34" s="732"/>
      <c r="F34" s="509">
        <v>225</v>
      </c>
      <c r="G34" s="509" t="s">
        <v>582</v>
      </c>
      <c r="H34" s="264"/>
    </row>
    <row r="35" spans="1:9" ht="24">
      <c r="A35" s="515" t="s">
        <v>860</v>
      </c>
      <c r="B35" s="732"/>
      <c r="C35" s="732"/>
      <c r="D35" s="732"/>
      <c r="E35" s="732"/>
      <c r="F35" s="508">
        <v>225</v>
      </c>
      <c r="G35" s="508" t="s">
        <v>583</v>
      </c>
      <c r="H35" s="264"/>
    </row>
    <row r="36" spans="1:9">
      <c r="A36" s="515" t="s">
        <v>861</v>
      </c>
      <c r="B36" s="728"/>
      <c r="C36" s="728"/>
      <c r="D36" s="728"/>
      <c r="E36" s="728"/>
      <c r="F36" s="508">
        <v>225</v>
      </c>
      <c r="G36" s="508" t="s">
        <v>872</v>
      </c>
      <c r="H36" s="264"/>
    </row>
    <row r="37" spans="1:9">
      <c r="A37" s="514" t="s">
        <v>785</v>
      </c>
      <c r="B37" s="728"/>
      <c r="C37" s="728"/>
      <c r="D37" s="728"/>
      <c r="E37" s="728"/>
      <c r="F37" s="507" t="s">
        <v>575</v>
      </c>
      <c r="G37" s="507"/>
      <c r="H37" s="730">
        <f>SUM(H38:H44)</f>
        <v>0</v>
      </c>
    </row>
    <row r="38" spans="1:9">
      <c r="A38" s="515" t="s">
        <v>584</v>
      </c>
      <c r="B38" s="732"/>
      <c r="C38" s="732"/>
      <c r="D38" s="732"/>
      <c r="E38" s="732"/>
      <c r="F38" s="508">
        <v>226</v>
      </c>
      <c r="G38" s="508" t="s">
        <v>585</v>
      </c>
      <c r="H38" s="264"/>
      <c r="I38" s="769"/>
    </row>
    <row r="39" spans="1:9">
      <c r="A39" s="515" t="s">
        <v>586</v>
      </c>
      <c r="B39" s="732"/>
      <c r="C39" s="732"/>
      <c r="D39" s="732"/>
      <c r="E39" s="732"/>
      <c r="F39" s="508">
        <v>226</v>
      </c>
      <c r="G39" s="508" t="s">
        <v>587</v>
      </c>
      <c r="H39" s="264"/>
    </row>
    <row r="40" spans="1:9" ht="24">
      <c r="A40" s="515" t="s">
        <v>862</v>
      </c>
      <c r="B40" s="732"/>
      <c r="C40" s="732"/>
      <c r="D40" s="732"/>
      <c r="E40" s="732"/>
      <c r="F40" s="508">
        <v>226</v>
      </c>
      <c r="G40" s="508" t="s">
        <v>588</v>
      </c>
      <c r="H40" s="264"/>
    </row>
    <row r="41" spans="1:9">
      <c r="A41" s="515" t="s">
        <v>573</v>
      </c>
      <c r="B41" s="732"/>
      <c r="C41" s="732"/>
      <c r="D41" s="732"/>
      <c r="E41" s="732"/>
      <c r="F41" s="508">
        <v>226</v>
      </c>
      <c r="G41" s="508">
        <v>620</v>
      </c>
      <c r="H41" s="264"/>
    </row>
    <row r="42" spans="1:9">
      <c r="A42" s="515" t="s">
        <v>574</v>
      </c>
      <c r="B42" s="732"/>
      <c r="C42" s="732"/>
      <c r="D42" s="732"/>
      <c r="E42" s="732"/>
      <c r="F42" s="508">
        <v>226</v>
      </c>
      <c r="G42" s="508">
        <v>630</v>
      </c>
      <c r="H42" s="264"/>
    </row>
    <row r="43" spans="1:9">
      <c r="A43" s="515" t="s">
        <v>908</v>
      </c>
      <c r="B43" s="732"/>
      <c r="C43" s="732"/>
      <c r="D43" s="732"/>
      <c r="E43" s="732"/>
      <c r="F43" s="508">
        <v>226</v>
      </c>
      <c r="G43" s="508">
        <v>843</v>
      </c>
      <c r="H43" s="264"/>
    </row>
    <row r="44" spans="1:9">
      <c r="A44" s="437" t="s">
        <v>596</v>
      </c>
      <c r="B44" s="734"/>
      <c r="C44" s="734"/>
      <c r="D44" s="734"/>
      <c r="E44" s="734"/>
      <c r="F44" s="509">
        <v>226</v>
      </c>
      <c r="G44" s="509">
        <v>845</v>
      </c>
      <c r="H44" s="735"/>
    </row>
    <row r="45" spans="1:9" ht="25.5">
      <c r="A45" s="736" t="s">
        <v>848</v>
      </c>
      <c r="B45" s="737"/>
      <c r="C45" s="737"/>
      <c r="D45" s="737"/>
      <c r="E45" s="737"/>
      <c r="F45" s="506">
        <v>240</v>
      </c>
      <c r="G45" s="506"/>
      <c r="H45" s="738">
        <f>H46</f>
        <v>0</v>
      </c>
    </row>
    <row r="46" spans="1:9" ht="24">
      <c r="A46" s="739" t="s">
        <v>851</v>
      </c>
      <c r="B46" s="734"/>
      <c r="C46" s="734"/>
      <c r="D46" s="734"/>
      <c r="E46" s="734"/>
      <c r="F46" s="511">
        <v>244</v>
      </c>
      <c r="G46" s="511"/>
      <c r="H46" s="528"/>
    </row>
    <row r="47" spans="1:9">
      <c r="A47" s="513" t="s">
        <v>863</v>
      </c>
      <c r="B47" s="737"/>
      <c r="C47" s="737"/>
      <c r="D47" s="737"/>
      <c r="E47" s="737"/>
      <c r="F47" s="506" t="s">
        <v>589</v>
      </c>
      <c r="G47" s="506"/>
      <c r="H47" s="738">
        <f>H48</f>
        <v>0</v>
      </c>
    </row>
    <row r="48" spans="1:9">
      <c r="A48" s="514" t="s">
        <v>864</v>
      </c>
      <c r="B48" s="734"/>
      <c r="C48" s="734"/>
      <c r="D48" s="734"/>
      <c r="E48" s="734"/>
      <c r="F48" s="507">
        <v>251</v>
      </c>
      <c r="G48" s="507"/>
      <c r="H48" s="528"/>
    </row>
    <row r="49" spans="1:8">
      <c r="A49" s="513" t="s">
        <v>865</v>
      </c>
      <c r="B49" s="737"/>
      <c r="C49" s="737"/>
      <c r="D49" s="737"/>
      <c r="E49" s="737"/>
      <c r="F49" s="506" t="s">
        <v>591</v>
      </c>
      <c r="G49" s="506"/>
      <c r="H49" s="738">
        <f>H50+H52</f>
        <v>0</v>
      </c>
    </row>
    <row r="50" spans="1:8" ht="24">
      <c r="A50" s="514" t="s">
        <v>866</v>
      </c>
      <c r="B50" s="734"/>
      <c r="C50" s="734"/>
      <c r="D50" s="734"/>
      <c r="E50" s="734"/>
      <c r="F50" s="507">
        <v>264</v>
      </c>
      <c r="G50" s="507"/>
      <c r="H50" s="528">
        <f>H51</f>
        <v>0</v>
      </c>
    </row>
    <row r="51" spans="1:8">
      <c r="A51" s="515" t="s">
        <v>592</v>
      </c>
      <c r="B51" s="728"/>
      <c r="C51" s="728"/>
      <c r="D51" s="728"/>
      <c r="E51" s="728"/>
      <c r="F51" s="508">
        <v>264</v>
      </c>
      <c r="G51" s="508" t="s">
        <v>593</v>
      </c>
      <c r="H51" s="264"/>
    </row>
    <row r="52" spans="1:8" ht="24">
      <c r="A52" s="514" t="s">
        <v>607</v>
      </c>
      <c r="B52" s="728"/>
      <c r="C52" s="728"/>
      <c r="D52" s="728"/>
      <c r="E52" s="728"/>
      <c r="F52" s="507">
        <v>266</v>
      </c>
      <c r="G52" s="507"/>
      <c r="H52" s="730"/>
    </row>
    <row r="53" spans="1:8">
      <c r="A53" s="513" t="s">
        <v>594</v>
      </c>
      <c r="B53" s="737"/>
      <c r="C53" s="737"/>
      <c r="D53" s="737"/>
      <c r="E53" s="737"/>
      <c r="F53" s="506" t="s">
        <v>595</v>
      </c>
      <c r="G53" s="506"/>
      <c r="H53" s="738">
        <f>SUM(H54:H59)</f>
        <v>0</v>
      </c>
    </row>
    <row r="54" spans="1:8">
      <c r="A54" s="516" t="s">
        <v>604</v>
      </c>
      <c r="B54" s="734"/>
      <c r="C54" s="734"/>
      <c r="D54" s="734"/>
      <c r="E54" s="734"/>
      <c r="F54" s="510">
        <v>291</v>
      </c>
      <c r="G54" s="510"/>
      <c r="H54" s="528"/>
    </row>
    <row r="55" spans="1:8">
      <c r="A55" s="516" t="s">
        <v>605</v>
      </c>
      <c r="B55" s="728"/>
      <c r="C55" s="728"/>
      <c r="D55" s="728"/>
      <c r="E55" s="728"/>
      <c r="F55" s="510">
        <v>292</v>
      </c>
      <c r="G55" s="510"/>
      <c r="H55" s="730"/>
    </row>
    <row r="56" spans="1:8">
      <c r="A56" s="516" t="s">
        <v>606</v>
      </c>
      <c r="B56" s="728"/>
      <c r="C56" s="728"/>
      <c r="D56" s="728"/>
      <c r="E56" s="728"/>
      <c r="F56" s="510">
        <v>293</v>
      </c>
      <c r="G56" s="510"/>
      <c r="H56" s="730"/>
    </row>
    <row r="57" spans="1:8">
      <c r="A57" s="516" t="s">
        <v>877</v>
      </c>
      <c r="B57" s="728"/>
      <c r="C57" s="728"/>
      <c r="D57" s="728"/>
      <c r="E57" s="728"/>
      <c r="F57" s="510">
        <v>295</v>
      </c>
      <c r="G57" s="510"/>
      <c r="H57" s="730"/>
    </row>
    <row r="58" spans="1:8">
      <c r="A58" s="516" t="s">
        <v>867</v>
      </c>
      <c r="B58" s="728"/>
      <c r="C58" s="728"/>
      <c r="D58" s="728"/>
      <c r="E58" s="728"/>
      <c r="F58" s="510">
        <v>296</v>
      </c>
      <c r="G58" s="510"/>
      <c r="H58" s="730"/>
    </row>
    <row r="59" spans="1:8">
      <c r="A59" s="516" t="s">
        <v>877</v>
      </c>
      <c r="B59" s="728"/>
      <c r="C59" s="728"/>
      <c r="D59" s="728"/>
      <c r="E59" s="728"/>
      <c r="F59" s="510">
        <v>297</v>
      </c>
      <c r="G59" s="510"/>
      <c r="H59" s="730"/>
    </row>
    <row r="60" spans="1:8">
      <c r="A60" s="513" t="s">
        <v>868</v>
      </c>
      <c r="B60" s="737"/>
      <c r="C60" s="737"/>
      <c r="D60" s="737"/>
      <c r="E60" s="737"/>
      <c r="F60" s="506" t="s">
        <v>436</v>
      </c>
      <c r="G60" s="506"/>
      <c r="H60" s="738">
        <f>H61+H63+H64+H65</f>
        <v>0</v>
      </c>
    </row>
    <row r="61" spans="1:8">
      <c r="A61" s="514" t="s">
        <v>597</v>
      </c>
      <c r="B61" s="734"/>
      <c r="C61" s="734"/>
      <c r="D61" s="734"/>
      <c r="E61" s="734"/>
      <c r="F61" s="507" t="s">
        <v>598</v>
      </c>
      <c r="G61" s="507"/>
      <c r="H61" s="528">
        <f>H62</f>
        <v>0</v>
      </c>
    </row>
    <row r="62" spans="1:8">
      <c r="A62" s="515" t="s">
        <v>599</v>
      </c>
      <c r="B62" s="728"/>
      <c r="C62" s="728"/>
      <c r="D62" s="728"/>
      <c r="E62" s="728"/>
      <c r="F62" s="508">
        <v>310</v>
      </c>
      <c r="G62" s="508" t="s">
        <v>600</v>
      </c>
      <c r="H62" s="264"/>
    </row>
    <row r="63" spans="1:8">
      <c r="A63" s="517" t="s">
        <v>869</v>
      </c>
      <c r="B63" s="728"/>
      <c r="C63" s="728"/>
      <c r="D63" s="728"/>
      <c r="E63" s="728"/>
      <c r="F63" s="511">
        <v>343</v>
      </c>
      <c r="G63" s="511"/>
      <c r="H63" s="730"/>
    </row>
    <row r="64" spans="1:8" ht="24">
      <c r="A64" s="517" t="s">
        <v>870</v>
      </c>
      <c r="B64" s="728"/>
      <c r="C64" s="728"/>
      <c r="D64" s="728"/>
      <c r="E64" s="728"/>
      <c r="F64" s="511">
        <v>346</v>
      </c>
      <c r="G64" s="511"/>
      <c r="H64" s="730"/>
    </row>
    <row r="65" spans="1:9" ht="24">
      <c r="A65" s="517" t="s">
        <v>871</v>
      </c>
      <c r="B65" s="728"/>
      <c r="C65" s="728"/>
      <c r="D65" s="728"/>
      <c r="E65" s="728"/>
      <c r="F65" s="511">
        <v>349</v>
      </c>
      <c r="G65" s="511"/>
      <c r="H65" s="730"/>
    </row>
    <row r="66" spans="1:9">
      <c r="A66" s="517" t="s">
        <v>710</v>
      </c>
      <c r="B66" s="728" t="s">
        <v>358</v>
      </c>
      <c r="C66" s="728" t="s">
        <v>377</v>
      </c>
      <c r="D66" s="728" t="s">
        <v>381</v>
      </c>
      <c r="E66" s="728" t="s">
        <v>375</v>
      </c>
      <c r="F66" s="511"/>
      <c r="G66" s="511"/>
      <c r="H66" s="730">
        <f>H28</f>
        <v>3035.1</v>
      </c>
    </row>
    <row r="67" spans="1:9">
      <c r="A67" s="519" t="s">
        <v>602</v>
      </c>
      <c r="B67" s="728" t="s">
        <v>358</v>
      </c>
      <c r="C67" s="728" t="s">
        <v>377</v>
      </c>
      <c r="D67" s="728" t="s">
        <v>708</v>
      </c>
      <c r="E67" s="728" t="s">
        <v>570</v>
      </c>
      <c r="F67" s="518"/>
      <c r="G67" s="518"/>
      <c r="H67" s="730">
        <f>H60+H16</f>
        <v>3035.1</v>
      </c>
      <c r="I67" s="574">
        <f>SUM(I16:I65)</f>
        <v>0</v>
      </c>
    </row>
    <row r="68" spans="1:9">
      <c r="A68" s="742"/>
      <c r="B68" s="743"/>
      <c r="C68" s="743"/>
      <c r="D68" s="743"/>
      <c r="E68" s="743"/>
      <c r="F68" s="743"/>
      <c r="G68" s="743"/>
      <c r="H68" s="74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G10:H10"/>
    <mergeCell ref="E11:F11"/>
    <mergeCell ref="A6:H6"/>
    <mergeCell ref="A7:H7"/>
    <mergeCell ref="E8:F8"/>
    <mergeCell ref="G8:H8"/>
    <mergeCell ref="G11:H11"/>
    <mergeCell ref="A12:H12"/>
    <mergeCell ref="A9:D9"/>
    <mergeCell ref="E9:F9"/>
    <mergeCell ref="G9:H9"/>
    <mergeCell ref="A14:A15"/>
    <mergeCell ref="B14:G14"/>
    <mergeCell ref="H14:H15"/>
    <mergeCell ref="A10:D10"/>
    <mergeCell ref="E10:F10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1:R40"/>
  <sheetViews>
    <sheetView topLeftCell="A13" workbookViewId="0">
      <selection activeCell="F29" sqref="F29:F32"/>
    </sheetView>
  </sheetViews>
  <sheetFormatPr defaultColWidth="12.85546875" defaultRowHeight="15"/>
  <cols>
    <col min="1" max="1" width="4.28515625" style="189" customWidth="1"/>
    <col min="2" max="2" width="23.42578125" style="189" customWidth="1"/>
    <col min="3" max="4" width="6.7109375" style="189" customWidth="1"/>
    <col min="5" max="5" width="10.140625" style="189" customWidth="1"/>
    <col min="6" max="6" width="13.140625" style="189" customWidth="1"/>
    <col min="7" max="7" width="11.7109375" style="189" customWidth="1"/>
    <col min="8" max="8" width="10.5703125" style="189" customWidth="1"/>
    <col min="9" max="9" width="10.140625" style="189" bestFit="1" customWidth="1"/>
    <col min="10" max="10" width="8" style="189" customWidth="1"/>
    <col min="11" max="12" width="11.5703125" style="189" customWidth="1"/>
    <col min="13" max="17" width="12.5703125" style="189" customWidth="1"/>
    <col min="18" max="243" width="9.140625" style="189" customWidth="1"/>
    <col min="244" max="244" width="4.28515625" style="189" customWidth="1"/>
    <col min="245" max="245" width="10.5703125" style="189" customWidth="1"/>
    <col min="246" max="246" width="12" style="189" customWidth="1"/>
    <col min="247" max="247" width="8.7109375" style="189" customWidth="1"/>
    <col min="248" max="248" width="7.28515625" style="189" customWidth="1"/>
    <col min="249" max="249" width="14.42578125" style="189" customWidth="1"/>
    <col min="250" max="250" width="7.140625" style="189" customWidth="1"/>
    <col min="251" max="251" width="7" style="189" customWidth="1"/>
    <col min="252" max="252" width="11.7109375" style="189" customWidth="1"/>
    <col min="253" max="253" width="10.140625" style="189" customWidth="1"/>
    <col min="254" max="254" width="10.140625" style="189" bestFit="1" customWidth="1"/>
    <col min="255" max="255" width="14.5703125" style="189" bestFit="1" customWidth="1"/>
    <col min="256" max="256" width="12.85546875" style="189" bestFit="1"/>
    <col min="257" max="16384" width="12.85546875" style="189"/>
  </cols>
  <sheetData>
    <row r="1" spans="1:11" ht="31.5" customHeight="1">
      <c r="A1" s="988" t="s">
        <v>376</v>
      </c>
      <c r="B1" s="988"/>
      <c r="C1" s="988"/>
      <c r="D1" s="988"/>
      <c r="E1" s="988"/>
      <c r="F1" s="988"/>
      <c r="G1" s="988"/>
      <c r="H1" s="988"/>
      <c r="I1" s="988"/>
    </row>
    <row r="2" spans="1:11">
      <c r="A2" s="148"/>
      <c r="B2" s="148"/>
      <c r="C2" s="148"/>
      <c r="D2" s="148"/>
      <c r="E2" s="148"/>
      <c r="F2" s="148"/>
      <c r="G2" s="148"/>
      <c r="H2" s="148"/>
      <c r="I2" s="658"/>
      <c r="J2" s="204"/>
    </row>
    <row r="3" spans="1:11" ht="15.75">
      <c r="A3" s="1038" t="s">
        <v>609</v>
      </c>
      <c r="B3" s="1038"/>
      <c r="C3" s="1038"/>
      <c r="D3" s="1038"/>
      <c r="E3" s="1038"/>
      <c r="F3" s="1038"/>
      <c r="G3" s="1038"/>
      <c r="H3" s="1038"/>
      <c r="I3" s="1038"/>
    </row>
    <row r="4" spans="1:11" ht="15" customHeight="1">
      <c r="A4" s="1004" t="str">
        <f ca="1">'СВОД смет'!A7:H7</f>
        <v>на 2021 год</v>
      </c>
      <c r="B4" s="1004"/>
      <c r="C4" s="1004"/>
      <c r="D4" s="1004"/>
      <c r="E4" s="1004"/>
      <c r="F4" s="1004"/>
      <c r="G4" s="1004"/>
      <c r="H4" s="1004"/>
      <c r="I4" s="1004"/>
    </row>
    <row r="6" spans="1:11">
      <c r="A6" s="1041" t="s">
        <v>165</v>
      </c>
      <c r="B6" s="1041"/>
      <c r="C6" s="1041"/>
      <c r="D6" s="1041"/>
      <c r="E6" s="1041"/>
      <c r="F6" s="1041"/>
      <c r="G6" s="1041"/>
      <c r="H6" s="1041"/>
      <c r="I6" s="1041"/>
      <c r="J6" s="700"/>
    </row>
    <row r="7" spans="1:11">
      <c r="A7" s="994" t="s">
        <v>660</v>
      </c>
      <c r="B7" s="994"/>
      <c r="C7" s="994"/>
      <c r="D7" s="994"/>
      <c r="E7" s="994"/>
      <c r="F7" s="994"/>
      <c r="G7" s="994"/>
      <c r="H7" s="994"/>
      <c r="I7" s="994"/>
    </row>
    <row r="8" spans="1:11" ht="30" customHeight="1">
      <c r="A8" s="198" t="s">
        <v>483</v>
      </c>
      <c r="B8" s="157" t="s">
        <v>715</v>
      </c>
      <c r="C8" s="199" t="s">
        <v>568</v>
      </c>
      <c r="D8" s="198" t="s">
        <v>614</v>
      </c>
      <c r="E8" s="198" t="s">
        <v>634</v>
      </c>
      <c r="F8" s="631" t="s">
        <v>719</v>
      </c>
      <c r="G8" s="198" t="s">
        <v>661</v>
      </c>
      <c r="H8" s="238" t="s">
        <v>690</v>
      </c>
      <c r="I8" s="198" t="s">
        <v>626</v>
      </c>
    </row>
    <row r="9" spans="1:11">
      <c r="A9" s="160">
        <v>1</v>
      </c>
      <c r="B9" s="242">
        <v>2</v>
      </c>
      <c r="C9" s="160">
        <v>3</v>
      </c>
      <c r="D9" s="160">
        <v>4</v>
      </c>
      <c r="E9" s="160">
        <v>5</v>
      </c>
      <c r="F9" s="242">
        <v>6</v>
      </c>
      <c r="G9" s="160">
        <v>7</v>
      </c>
      <c r="H9" s="243">
        <v>8</v>
      </c>
      <c r="I9" s="160">
        <v>9</v>
      </c>
      <c r="K9" s="792"/>
    </row>
    <row r="10" spans="1:11">
      <c r="A10" s="1032">
        <v>2</v>
      </c>
      <c r="B10" s="1034" t="s">
        <v>691</v>
      </c>
      <c r="C10" s="1036">
        <v>223</v>
      </c>
      <c r="D10" s="1036">
        <v>721</v>
      </c>
      <c r="E10" s="1036" t="s">
        <v>662</v>
      </c>
      <c r="F10" s="628">
        <v>173.6</v>
      </c>
      <c r="G10" s="628">
        <v>1422.77</v>
      </c>
      <c r="H10" s="247">
        <f t="shared" ref="H10:H19" si="0">F10*G10</f>
        <v>246992.872</v>
      </c>
      <c r="I10" s="1039">
        <f>ROUND((H10+H11)/1000,1)</f>
        <v>445.7</v>
      </c>
      <c r="J10" s="467"/>
    </row>
    <row r="11" spans="1:11">
      <c r="A11" s="1033"/>
      <c r="B11" s="1035"/>
      <c r="C11" s="1037"/>
      <c r="D11" s="1037"/>
      <c r="E11" s="1037"/>
      <c r="F11" s="628">
        <v>136.4</v>
      </c>
      <c r="G11" s="628">
        <v>1456.91</v>
      </c>
      <c r="H11" s="247">
        <f t="shared" si="0"/>
        <v>198722.52400000003</v>
      </c>
      <c r="I11" s="1040"/>
      <c r="J11" s="467"/>
    </row>
    <row r="12" spans="1:11" ht="15" customHeight="1">
      <c r="A12" s="1023">
        <v>3</v>
      </c>
      <c r="B12" s="1010" t="s">
        <v>951</v>
      </c>
      <c r="C12" s="1007">
        <v>223</v>
      </c>
      <c r="D12" s="1031">
        <v>721</v>
      </c>
      <c r="E12" s="1031" t="s">
        <v>662</v>
      </c>
      <c r="F12" s="632">
        <v>67.2</v>
      </c>
      <c r="G12" s="607">
        <v>22020</v>
      </c>
      <c r="H12" s="244">
        <f t="shared" si="0"/>
        <v>1479744</v>
      </c>
      <c r="I12" s="1028">
        <f>ROUND((H12+H13)/1000,1)</f>
        <v>2670.7</v>
      </c>
      <c r="J12" s="467"/>
    </row>
    <row r="13" spans="1:11" s="204" customFormat="1">
      <c r="A13" s="1023"/>
      <c r="B13" s="1010"/>
      <c r="C13" s="1007"/>
      <c r="D13" s="1031"/>
      <c r="E13" s="1031"/>
      <c r="F13" s="632">
        <v>52.8</v>
      </c>
      <c r="G13" s="607">
        <v>22556.18</v>
      </c>
      <c r="H13" s="244">
        <f t="shared" si="0"/>
        <v>1190966.304</v>
      </c>
      <c r="I13" s="1029"/>
      <c r="J13" s="467"/>
    </row>
    <row r="14" spans="1:11">
      <c r="A14" s="1023">
        <v>4</v>
      </c>
      <c r="B14" s="1010" t="s">
        <v>6</v>
      </c>
      <c r="C14" s="1007">
        <v>223</v>
      </c>
      <c r="D14" s="1031">
        <v>730</v>
      </c>
      <c r="E14" s="1031" t="s">
        <v>692</v>
      </c>
      <c r="F14" s="632">
        <v>4050</v>
      </c>
      <c r="G14" s="607">
        <v>55.87</v>
      </c>
      <c r="H14" s="244">
        <f t="shared" si="0"/>
        <v>226273.5</v>
      </c>
      <c r="I14" s="1028">
        <f>ROUND((H14+H15)/1000,1)</f>
        <v>454.3</v>
      </c>
      <c r="J14" s="467"/>
    </row>
    <row r="15" spans="1:11">
      <c r="A15" s="1023"/>
      <c r="B15" s="1010"/>
      <c r="C15" s="1007"/>
      <c r="D15" s="1031"/>
      <c r="E15" s="1031"/>
      <c r="F15" s="632">
        <v>3450</v>
      </c>
      <c r="G15" s="607">
        <v>66.099999999999994</v>
      </c>
      <c r="H15" s="244">
        <f t="shared" si="0"/>
        <v>228044.99999999997</v>
      </c>
      <c r="I15" s="1029"/>
      <c r="J15" s="467"/>
    </row>
    <row r="16" spans="1:11" ht="15" customHeight="1">
      <c r="A16" s="1023">
        <v>5</v>
      </c>
      <c r="B16" s="1010" t="s">
        <v>952</v>
      </c>
      <c r="C16" s="1007">
        <v>223</v>
      </c>
      <c r="D16" s="1031">
        <v>740</v>
      </c>
      <c r="E16" s="1031" t="s">
        <v>663</v>
      </c>
      <c r="F16" s="632">
        <v>6.63</v>
      </c>
      <c r="G16" s="607">
        <v>3224.47</v>
      </c>
      <c r="H16" s="244">
        <f t="shared" si="0"/>
        <v>21378.236099999998</v>
      </c>
      <c r="I16" s="1028">
        <f>ROUND((H16+H17)/1000,1)</f>
        <v>42.6</v>
      </c>
      <c r="J16" s="467"/>
    </row>
    <row r="17" spans="1:18">
      <c r="A17" s="1023"/>
      <c r="B17" s="1010"/>
      <c r="C17" s="1007"/>
      <c r="D17" s="1031"/>
      <c r="E17" s="1031"/>
      <c r="F17" s="632">
        <v>5.21</v>
      </c>
      <c r="G17" s="607">
        <v>4070.26</v>
      </c>
      <c r="H17" s="244">
        <f t="shared" si="0"/>
        <v>21206.054599999999</v>
      </c>
      <c r="I17" s="1029"/>
      <c r="J17" s="467"/>
    </row>
    <row r="18" spans="1:18" ht="15" customHeight="1">
      <c r="A18" s="1023">
        <v>6</v>
      </c>
      <c r="B18" s="1010" t="s">
        <v>953</v>
      </c>
      <c r="C18" s="1007">
        <v>223</v>
      </c>
      <c r="D18" s="1031">
        <v>740</v>
      </c>
      <c r="E18" s="1031" t="s">
        <v>663</v>
      </c>
      <c r="F18" s="632">
        <v>6.63</v>
      </c>
      <c r="G18" s="607">
        <v>46.67</v>
      </c>
      <c r="H18" s="244">
        <f t="shared" si="0"/>
        <v>309.4221</v>
      </c>
      <c r="I18" s="1028">
        <f>ROUND((H18+H19)/1000,1)</f>
        <v>0.6</v>
      </c>
      <c r="J18" s="467"/>
    </row>
    <row r="19" spans="1:18">
      <c r="A19" s="1023"/>
      <c r="B19" s="1010"/>
      <c r="C19" s="1007"/>
      <c r="D19" s="1031"/>
      <c r="E19" s="1031"/>
      <c r="F19" s="632">
        <v>5.21</v>
      </c>
      <c r="G19" s="607">
        <v>52.03</v>
      </c>
      <c r="H19" s="244">
        <f t="shared" si="0"/>
        <v>271.0763</v>
      </c>
      <c r="I19" s="1029"/>
      <c r="J19" s="467"/>
    </row>
    <row r="20" spans="1:18">
      <c r="A20" s="1030" t="s">
        <v>718</v>
      </c>
      <c r="B20" s="1030"/>
      <c r="C20" s="1030"/>
      <c r="D20" s="1030"/>
      <c r="E20" s="1030"/>
      <c r="F20" s="1030"/>
      <c r="G20" s="1030"/>
      <c r="H20" s="248">
        <f>SUM(H12:H19)</f>
        <v>3168193.5930999997</v>
      </c>
      <c r="I20" s="277">
        <f>SUM(I12:I19)</f>
        <v>3168.2</v>
      </c>
      <c r="J20" s="246"/>
    </row>
    <row r="21" spans="1:18">
      <c r="A21" s="1030" t="s">
        <v>664</v>
      </c>
      <c r="B21" s="1030"/>
      <c r="C21" s="1030"/>
      <c r="D21" s="1030"/>
      <c r="E21" s="1030"/>
      <c r="F21" s="1030"/>
      <c r="G21" s="1030"/>
      <c r="H21" s="245"/>
      <c r="I21" s="277">
        <f>SUM(I10:I19)</f>
        <v>3613.8999999999996</v>
      </c>
    </row>
    <row r="22" spans="1:18" ht="15.75" customHeight="1"/>
    <row r="23" spans="1:18">
      <c r="A23" s="1045" t="s">
        <v>158</v>
      </c>
      <c r="B23" s="1046"/>
      <c r="C23" s="1046"/>
      <c r="D23" s="1046"/>
      <c r="E23" s="1046"/>
      <c r="F23" s="1046"/>
      <c r="L23" s="1042" t="s">
        <v>80</v>
      </c>
      <c r="M23" s="1042"/>
      <c r="N23" s="1042"/>
      <c r="O23" s="1042"/>
      <c r="P23" s="1042"/>
      <c r="Q23" s="1042"/>
      <c r="R23" s="190"/>
    </row>
    <row r="24" spans="1:18" ht="24">
      <c r="A24" s="238" t="s">
        <v>483</v>
      </c>
      <c r="B24" s="238" t="s">
        <v>714</v>
      </c>
      <c r="C24" s="238" t="s">
        <v>568</v>
      </c>
      <c r="D24" s="238" t="s">
        <v>7</v>
      </c>
      <c r="E24" s="238" t="s">
        <v>8</v>
      </c>
      <c r="F24" s="238" t="s">
        <v>9</v>
      </c>
      <c r="L24" s="1043"/>
      <c r="M24" s="702" t="s">
        <v>782</v>
      </c>
      <c r="N24" s="702" t="s">
        <v>843</v>
      </c>
      <c r="O24" s="702" t="s">
        <v>844</v>
      </c>
      <c r="P24" s="702" t="s">
        <v>845</v>
      </c>
      <c r="Q24" s="702" t="s">
        <v>846</v>
      </c>
    </row>
    <row r="25" spans="1:18">
      <c r="A25" s="243">
        <v>1</v>
      </c>
      <c r="B25" s="243">
        <v>2</v>
      </c>
      <c r="C25" s="243">
        <v>3</v>
      </c>
      <c r="D25" s="243">
        <v>4</v>
      </c>
      <c r="E25" s="243">
        <v>5</v>
      </c>
      <c r="F25" s="243">
        <v>6</v>
      </c>
      <c r="L25" s="1044"/>
      <c r="M25" s="703">
        <f>SUM(N25:Q25)</f>
        <v>0</v>
      </c>
      <c r="N25" s="655">
        <f>SUM(N26:N27)</f>
        <v>0</v>
      </c>
      <c r="O25" s="655">
        <f>SUM(O26:O27)</f>
        <v>0</v>
      </c>
      <c r="P25" s="655">
        <f>SUM(P26:P27)</f>
        <v>0</v>
      </c>
      <c r="Q25" s="655">
        <f>SUM(Q26:Q27)</f>
        <v>0</v>
      </c>
    </row>
    <row r="26" spans="1:18" ht="26.25" customHeight="1">
      <c r="A26" s="653">
        <v>1</v>
      </c>
      <c r="B26" s="657" t="s">
        <v>691</v>
      </c>
      <c r="C26" s="633">
        <v>223</v>
      </c>
      <c r="D26" s="653">
        <v>721</v>
      </c>
      <c r="E26" s="654">
        <v>460130</v>
      </c>
      <c r="F26" s="794">
        <f t="shared" ref="F26:F32" si="1">ROUND(E26/1000,1)</f>
        <v>460.1</v>
      </c>
      <c r="G26" s="825"/>
      <c r="L26" s="704" t="s">
        <v>11</v>
      </c>
      <c r="M26" s="454">
        <v>460130</v>
      </c>
      <c r="N26" s="798"/>
      <c r="O26" s="798"/>
      <c r="P26" s="798"/>
      <c r="Q26" s="798"/>
    </row>
    <row r="27" spans="1:18" ht="26.25" customHeight="1">
      <c r="A27" s="653">
        <v>2</v>
      </c>
      <c r="B27" s="657" t="s">
        <v>81</v>
      </c>
      <c r="C27" s="633">
        <v>223</v>
      </c>
      <c r="D27" s="653">
        <v>730</v>
      </c>
      <c r="E27" s="654">
        <v>0</v>
      </c>
      <c r="F27" s="794">
        <f t="shared" si="1"/>
        <v>0</v>
      </c>
      <c r="G27" s="825"/>
      <c r="L27" s="704" t="s">
        <v>12</v>
      </c>
      <c r="M27" s="454">
        <v>2956434</v>
      </c>
      <c r="N27" s="798"/>
      <c r="O27" s="798"/>
      <c r="P27" s="798"/>
      <c r="Q27" s="798"/>
    </row>
    <row r="28" spans="1:18" ht="26.25" customHeight="1">
      <c r="A28" s="653">
        <v>3</v>
      </c>
      <c r="B28" s="657" t="s">
        <v>109</v>
      </c>
      <c r="C28" s="633">
        <v>223</v>
      </c>
      <c r="D28" s="653">
        <v>740</v>
      </c>
      <c r="E28" s="654">
        <v>0</v>
      </c>
      <c r="F28" s="794">
        <f t="shared" si="1"/>
        <v>0</v>
      </c>
      <c r="G28" s="825"/>
      <c r="L28" s="821"/>
      <c r="M28" s="822"/>
      <c r="N28" s="823"/>
      <c r="O28" s="823"/>
      <c r="P28" s="823"/>
      <c r="Q28" s="823"/>
    </row>
    <row r="29" spans="1:18" ht="26.25" customHeight="1">
      <c r="A29" s="243">
        <v>4</v>
      </c>
      <c r="B29" s="515" t="s">
        <v>951</v>
      </c>
      <c r="C29" s="154">
        <v>223</v>
      </c>
      <c r="D29" s="243">
        <v>721</v>
      </c>
      <c r="E29" s="251">
        <v>2448151</v>
      </c>
      <c r="F29" s="795">
        <f t="shared" si="1"/>
        <v>2448.1999999999998</v>
      </c>
      <c r="G29" s="825"/>
    </row>
    <row r="30" spans="1:18" ht="26.25" customHeight="1">
      <c r="A30" s="243">
        <v>5</v>
      </c>
      <c r="B30" s="515" t="s">
        <v>6</v>
      </c>
      <c r="C30" s="154">
        <v>223</v>
      </c>
      <c r="D30" s="154">
        <v>730</v>
      </c>
      <c r="E30" s="251">
        <v>454300</v>
      </c>
      <c r="F30" s="795">
        <f t="shared" si="1"/>
        <v>454.3</v>
      </c>
      <c r="G30" s="825"/>
      <c r="N30" s="196"/>
      <c r="O30" s="196"/>
      <c r="P30" s="196"/>
      <c r="Q30" s="196"/>
    </row>
    <row r="31" spans="1:18" ht="26.25" customHeight="1">
      <c r="A31" s="243">
        <v>6</v>
      </c>
      <c r="B31" s="515" t="s">
        <v>952</v>
      </c>
      <c r="C31" s="154">
        <v>223</v>
      </c>
      <c r="D31" s="154">
        <v>740</v>
      </c>
      <c r="E31" s="251">
        <v>53948</v>
      </c>
      <c r="F31" s="795">
        <f t="shared" si="1"/>
        <v>53.9</v>
      </c>
      <c r="G31" s="825"/>
    </row>
    <row r="32" spans="1:18" ht="26.25" customHeight="1">
      <c r="A32" s="233">
        <v>7</v>
      </c>
      <c r="B32" s="546" t="s">
        <v>953</v>
      </c>
      <c r="C32" s="154">
        <v>223</v>
      </c>
      <c r="D32" s="154">
        <v>740</v>
      </c>
      <c r="E32" s="651">
        <v>735</v>
      </c>
      <c r="F32" s="795">
        <f t="shared" si="1"/>
        <v>0.7</v>
      </c>
      <c r="G32" s="656"/>
    </row>
    <row r="33" spans="1:11">
      <c r="A33" s="1047" t="s">
        <v>13</v>
      </c>
      <c r="B33" s="1048"/>
      <c r="C33" s="1048"/>
      <c r="D33" s="1049"/>
      <c r="E33" s="652">
        <f>SUM(E29:E32)</f>
        <v>2957134</v>
      </c>
      <c r="F33" s="796">
        <f>SUM(F29:F32)</f>
        <v>2957.1</v>
      </c>
      <c r="G33" s="656"/>
    </row>
    <row r="34" spans="1:11">
      <c r="A34" s="1047" t="s">
        <v>10</v>
      </c>
      <c r="B34" s="1048"/>
      <c r="C34" s="1048"/>
      <c r="D34" s="1049"/>
      <c r="E34" s="652">
        <f>SUM(E26:E32)</f>
        <v>3417264</v>
      </c>
      <c r="F34" s="797">
        <f>SUM(F26:F32)</f>
        <v>3417.2</v>
      </c>
      <c r="H34" s="894" t="s">
        <v>254</v>
      </c>
      <c r="I34" s="189">
        <v>78</v>
      </c>
      <c r="K34" s="200">
        <f>F34+I34</f>
        <v>3495.2</v>
      </c>
    </row>
    <row r="37" spans="1:11">
      <c r="B37" s="992" t="s">
        <v>621</v>
      </c>
      <c r="C37" s="992"/>
      <c r="D37" s="162"/>
      <c r="E37" s="993"/>
      <c r="F37" s="993"/>
      <c r="G37" s="993" t="str">
        <f ca="1">рВДЛ!G29</f>
        <v>М.В. Златова</v>
      </c>
      <c r="H37" s="993"/>
    </row>
    <row r="38" spans="1:11">
      <c r="B38" s="1001" t="s">
        <v>554</v>
      </c>
      <c r="C38" s="1001"/>
      <c r="D38" s="163"/>
      <c r="E38" s="1002" t="s">
        <v>555</v>
      </c>
      <c r="F38" s="1002"/>
      <c r="G38" s="1002" t="s">
        <v>556</v>
      </c>
      <c r="H38" s="1002"/>
    </row>
    <row r="39" spans="1:11">
      <c r="A39" s="225"/>
      <c r="B39" s="992" t="str">
        <f ca="1">рВДЛ!A31</f>
        <v>Исполнитель: финансист</v>
      </c>
      <c r="C39" s="992"/>
      <c r="D39" s="162"/>
      <c r="E39" s="993"/>
      <c r="F39" s="993"/>
      <c r="G39" s="993" t="str">
        <f ca="1">рВДЛ!G31</f>
        <v>Е.Н. Рыбалка</v>
      </c>
      <c r="H39" s="993"/>
    </row>
    <row r="40" spans="1:11">
      <c r="B40" s="1001" t="s">
        <v>554</v>
      </c>
      <c r="C40" s="1001"/>
      <c r="D40" s="163"/>
      <c r="E40" s="1002" t="s">
        <v>555</v>
      </c>
      <c r="F40" s="1002"/>
      <c r="G40" s="1002" t="s">
        <v>556</v>
      </c>
      <c r="H40" s="1002"/>
    </row>
  </sheetData>
  <mergeCells count="54">
    <mergeCell ref="L23:Q23"/>
    <mergeCell ref="L24:L25"/>
    <mergeCell ref="A23:F23"/>
    <mergeCell ref="A34:D34"/>
    <mergeCell ref="A33:D33"/>
    <mergeCell ref="A7:I7"/>
    <mergeCell ref="A14:A15"/>
    <mergeCell ref="B14:B15"/>
    <mergeCell ref="C14:C15"/>
    <mergeCell ref="D14:D15"/>
    <mergeCell ref="E14:E15"/>
    <mergeCell ref="A12:A13"/>
    <mergeCell ref="B12:B13"/>
    <mergeCell ref="C12:C13"/>
    <mergeCell ref="D12:D13"/>
    <mergeCell ref="A1:I1"/>
    <mergeCell ref="A3:I3"/>
    <mergeCell ref="A4:I4"/>
    <mergeCell ref="I10:I11"/>
    <mergeCell ref="A6:I6"/>
    <mergeCell ref="C16:C17"/>
    <mergeCell ref="D16:D17"/>
    <mergeCell ref="E16:E17"/>
    <mergeCell ref="I14:I15"/>
    <mergeCell ref="I16:I17"/>
    <mergeCell ref="E12:E13"/>
    <mergeCell ref="A10:A11"/>
    <mergeCell ref="B10:B11"/>
    <mergeCell ref="C10:C11"/>
    <mergeCell ref="D10:D11"/>
    <mergeCell ref="E10:E11"/>
    <mergeCell ref="I12:I13"/>
    <mergeCell ref="B40:C40"/>
    <mergeCell ref="E40:F40"/>
    <mergeCell ref="G40:H40"/>
    <mergeCell ref="B37:C37"/>
    <mergeCell ref="E37:F37"/>
    <mergeCell ref="G37:H37"/>
    <mergeCell ref="B38:C38"/>
    <mergeCell ref="E38:F38"/>
    <mergeCell ref="G38:H38"/>
    <mergeCell ref="B39:C39"/>
    <mergeCell ref="E39:F39"/>
    <mergeCell ref="G39:H39"/>
    <mergeCell ref="A16:A17"/>
    <mergeCell ref="B16:B17"/>
    <mergeCell ref="A21:G21"/>
    <mergeCell ref="I18:I19"/>
    <mergeCell ref="A20:G20"/>
    <mergeCell ref="A18:A19"/>
    <mergeCell ref="B18:B19"/>
    <mergeCell ref="C18:C19"/>
    <mergeCell ref="D18:D19"/>
    <mergeCell ref="E18:E19"/>
  </mergeCells>
  <phoneticPr fontId="0" type="noConversion"/>
  <pageMargins left="0.7" right="0.7" top="0.75" bottom="0.75" header="0.3" footer="0.3"/>
  <pageSetup paperSize="9" orientation="portrait" verticalDpi="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7"/>
  <sheetViews>
    <sheetView showZeros="0" workbookViewId="0">
      <selection activeCell="N58" sqref="N58"/>
    </sheetView>
  </sheetViews>
  <sheetFormatPr defaultColWidth="11.42578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474" customWidth="1"/>
    <col min="10" max="252" width="9.140625" style="669" customWidth="1"/>
    <col min="253" max="253" width="49.42578125" style="669" customWidth="1"/>
    <col min="254" max="255" width="3.5703125" style="669" customWidth="1"/>
    <col min="256" max="16384" width="11.42578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77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77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77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77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77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76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76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76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7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7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78"/>
    </row>
    <row r="12" spans="1:9" s="170" customFormat="1" ht="33.75" customHeight="1">
      <c r="A12" s="988" t="s">
        <v>376</v>
      </c>
      <c r="B12" s="988"/>
      <c r="C12" s="988"/>
      <c r="D12" s="988"/>
      <c r="E12" s="988"/>
      <c r="F12" s="988"/>
      <c r="G12" s="988"/>
      <c r="H12" s="988"/>
      <c r="I12" s="474"/>
    </row>
    <row r="13" spans="1:9" s="170" customFormat="1" ht="6" customHeight="1">
      <c r="E13" s="722"/>
      <c r="F13" s="722"/>
      <c r="G13" s="722"/>
      <c r="H13" s="722"/>
      <c r="I13" s="474"/>
    </row>
    <row r="14" spans="1:9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474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80"/>
    </row>
    <row r="16" spans="1:9">
      <c r="A16" s="512" t="s">
        <v>852</v>
      </c>
      <c r="B16" s="529" t="s">
        <v>358</v>
      </c>
      <c r="C16" s="529" t="s">
        <v>377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9417.1</v>
      </c>
      <c r="I16" s="574"/>
    </row>
    <row r="17" spans="1:9">
      <c r="A17" s="513" t="s">
        <v>853</v>
      </c>
      <c r="B17" s="726" t="s">
        <v>358</v>
      </c>
      <c r="C17" s="726" t="s">
        <v>377</v>
      </c>
      <c r="D17" s="726" t="s">
        <v>708</v>
      </c>
      <c r="E17" s="726" t="s">
        <v>570</v>
      </c>
      <c r="F17" s="506">
        <v>210</v>
      </c>
      <c r="G17" s="506"/>
      <c r="H17" s="727">
        <f>H18+H19+H21+H22</f>
        <v>9079.4</v>
      </c>
      <c r="I17" s="574"/>
    </row>
    <row r="18" spans="1:9">
      <c r="A18" s="514" t="s">
        <v>571</v>
      </c>
      <c r="B18" s="728" t="s">
        <v>358</v>
      </c>
      <c r="C18" s="728" t="s">
        <v>377</v>
      </c>
      <c r="D18" s="728" t="s">
        <v>384</v>
      </c>
      <c r="E18" s="529" t="s">
        <v>638</v>
      </c>
      <c r="F18" s="507">
        <v>211</v>
      </c>
      <c r="G18" s="507"/>
      <c r="H18" s="730">
        <f ca="1">рЗП!G11</f>
        <v>6759.2</v>
      </c>
      <c r="I18" s="574"/>
    </row>
    <row r="19" spans="1:9">
      <c r="A19" s="514" t="s">
        <v>854</v>
      </c>
      <c r="B19" s="728" t="s">
        <v>358</v>
      </c>
      <c r="C19" s="728" t="s">
        <v>377</v>
      </c>
      <c r="D19" s="728" t="s">
        <v>384</v>
      </c>
      <c r="E19" s="741" t="s">
        <v>707</v>
      </c>
      <c r="F19" s="507">
        <v>212</v>
      </c>
      <c r="G19" s="507"/>
      <c r="H19" s="730">
        <f ca="1">H20</f>
        <v>21.6</v>
      </c>
      <c r="I19" s="574"/>
    </row>
    <row r="20" spans="1:9">
      <c r="A20" s="515" t="s">
        <v>572</v>
      </c>
      <c r="B20" s="732" t="s">
        <v>358</v>
      </c>
      <c r="C20" s="732" t="s">
        <v>377</v>
      </c>
      <c r="D20" s="732" t="s">
        <v>384</v>
      </c>
      <c r="E20" s="408" t="s">
        <v>707</v>
      </c>
      <c r="F20" s="508">
        <v>212</v>
      </c>
      <c r="G20" s="508">
        <v>610</v>
      </c>
      <c r="H20" s="264">
        <f ca="1">рЗП!I57</f>
        <v>21.6</v>
      </c>
      <c r="I20" s="574"/>
    </row>
    <row r="21" spans="1:9">
      <c r="A21" s="514" t="s">
        <v>855</v>
      </c>
      <c r="B21" s="728" t="s">
        <v>358</v>
      </c>
      <c r="C21" s="728" t="s">
        <v>377</v>
      </c>
      <c r="D21" s="728" t="s">
        <v>384</v>
      </c>
      <c r="E21" s="529" t="s">
        <v>639</v>
      </c>
      <c r="F21" s="507">
        <v>213</v>
      </c>
      <c r="G21" s="507"/>
      <c r="H21" s="730">
        <f ca="1">рЗП!G18</f>
        <v>2022.6</v>
      </c>
      <c r="I21" s="574"/>
    </row>
    <row r="22" spans="1:9" ht="24">
      <c r="A22" s="514" t="s">
        <v>856</v>
      </c>
      <c r="B22" s="728" t="s">
        <v>358</v>
      </c>
      <c r="C22" s="728" t="s">
        <v>377</v>
      </c>
      <c r="D22" s="728" t="s">
        <v>384</v>
      </c>
      <c r="E22" s="741" t="s">
        <v>707</v>
      </c>
      <c r="F22" s="507">
        <v>214</v>
      </c>
      <c r="G22" s="507"/>
      <c r="H22" s="730">
        <f ca="1">H23</f>
        <v>276</v>
      </c>
      <c r="I22" s="574"/>
    </row>
    <row r="23" spans="1:9">
      <c r="A23" s="515" t="s">
        <v>646</v>
      </c>
      <c r="B23" s="732" t="s">
        <v>358</v>
      </c>
      <c r="C23" s="732" t="s">
        <v>377</v>
      </c>
      <c r="D23" s="732" t="s">
        <v>384</v>
      </c>
      <c r="E23" s="408" t="s">
        <v>707</v>
      </c>
      <c r="F23" s="508">
        <v>214</v>
      </c>
      <c r="G23" s="508">
        <v>831</v>
      </c>
      <c r="H23" s="264">
        <f ca="1">рЗП!G50</f>
        <v>276</v>
      </c>
      <c r="I23" s="574"/>
    </row>
    <row r="24" spans="1:9">
      <c r="A24" s="513" t="s">
        <v>857</v>
      </c>
      <c r="B24" s="726" t="s">
        <v>358</v>
      </c>
      <c r="C24" s="726" t="s">
        <v>377</v>
      </c>
      <c r="D24" s="726" t="s">
        <v>384</v>
      </c>
      <c r="E24" s="726" t="s">
        <v>707</v>
      </c>
      <c r="F24" s="506">
        <v>220</v>
      </c>
      <c r="G24" s="506"/>
      <c r="H24" s="727">
        <f>H25+H26+H28+H32+H36</f>
        <v>283.70000000000005</v>
      </c>
      <c r="I24" s="574"/>
    </row>
    <row r="25" spans="1:9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  <c r="I25" s="574"/>
    </row>
    <row r="26" spans="1:9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  <c r="I26" s="574"/>
    </row>
    <row r="27" spans="1:9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  <c r="I27" s="574"/>
    </row>
    <row r="28" spans="1:9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  <c r="I28" s="574"/>
    </row>
    <row r="29" spans="1:9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  <c r="I29" s="574"/>
    </row>
    <row r="30" spans="1:9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  <c r="I30" s="574"/>
    </row>
    <row r="31" spans="1:9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  <c r="I31" s="574"/>
    </row>
    <row r="32" spans="1:9">
      <c r="A32" s="514" t="s">
        <v>859</v>
      </c>
      <c r="B32" s="728"/>
      <c r="C32" s="728"/>
      <c r="D32" s="728"/>
      <c r="E32" s="728"/>
      <c r="F32" s="507">
        <v>225</v>
      </c>
      <c r="G32" s="507"/>
      <c r="H32" s="730">
        <f>SUM(H33:H35)</f>
        <v>0</v>
      </c>
      <c r="I32" s="574"/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  <c r="I33" s="574"/>
    </row>
    <row r="34" spans="1:9" ht="24">
      <c r="A34" s="515" t="s">
        <v>860</v>
      </c>
      <c r="B34" s="732"/>
      <c r="C34" s="732"/>
      <c r="D34" s="732"/>
      <c r="E34" s="732"/>
      <c r="F34" s="508">
        <v>225</v>
      </c>
      <c r="G34" s="508" t="s">
        <v>583</v>
      </c>
      <c r="H34" s="264"/>
      <c r="I34" s="574"/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  <c r="I35" s="574"/>
    </row>
    <row r="36" spans="1:9">
      <c r="A36" s="514" t="s">
        <v>785</v>
      </c>
      <c r="B36" s="728" t="s">
        <v>358</v>
      </c>
      <c r="C36" s="728" t="s">
        <v>377</v>
      </c>
      <c r="D36" s="728" t="s">
        <v>384</v>
      </c>
      <c r="E36" s="728" t="s">
        <v>707</v>
      </c>
      <c r="F36" s="507" t="s">
        <v>575</v>
      </c>
      <c r="G36" s="507"/>
      <c r="H36" s="730">
        <f>SUM(H37:H43)</f>
        <v>283.70000000000005</v>
      </c>
      <c r="I36" s="574"/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574"/>
    </row>
    <row r="38" spans="1:9">
      <c r="A38" s="515" t="s">
        <v>586</v>
      </c>
      <c r="B38" s="732"/>
      <c r="C38" s="732"/>
      <c r="D38" s="732"/>
      <c r="E38" s="732"/>
      <c r="F38" s="508">
        <v>226</v>
      </c>
      <c r="G38" s="508" t="s">
        <v>587</v>
      </c>
      <c r="H38" s="264"/>
      <c r="I38" s="574"/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  <c r="I39" s="574"/>
    </row>
    <row r="40" spans="1:9">
      <c r="A40" s="515" t="s">
        <v>573</v>
      </c>
      <c r="B40" s="732" t="s">
        <v>358</v>
      </c>
      <c r="C40" s="732" t="s">
        <v>377</v>
      </c>
      <c r="D40" s="732" t="s">
        <v>384</v>
      </c>
      <c r="E40" s="408" t="s">
        <v>707</v>
      </c>
      <c r="F40" s="508">
        <v>226</v>
      </c>
      <c r="G40" s="508">
        <v>620</v>
      </c>
      <c r="H40" s="264">
        <f ca="1">рЗП!I63</f>
        <v>99.9</v>
      </c>
      <c r="I40" s="574"/>
    </row>
    <row r="41" spans="1:9">
      <c r="A41" s="515" t="s">
        <v>574</v>
      </c>
      <c r="B41" s="732" t="s">
        <v>358</v>
      </c>
      <c r="C41" s="732" t="s">
        <v>377</v>
      </c>
      <c r="D41" s="732" t="s">
        <v>384</v>
      </c>
      <c r="E41" s="408" t="s">
        <v>707</v>
      </c>
      <c r="F41" s="508">
        <v>226</v>
      </c>
      <c r="G41" s="508">
        <v>630</v>
      </c>
      <c r="H41" s="264">
        <f ca="1">рЗП!I64</f>
        <v>183.8</v>
      </c>
      <c r="I41" s="57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  <c r="I42" s="574"/>
    </row>
    <row r="43" spans="1:9">
      <c r="A43" s="437" t="s">
        <v>596</v>
      </c>
      <c r="B43" s="732"/>
      <c r="C43" s="732"/>
      <c r="D43" s="732"/>
      <c r="E43" s="732"/>
      <c r="F43" s="509">
        <v>226</v>
      </c>
      <c r="G43" s="509">
        <v>845</v>
      </c>
      <c r="H43" s="735"/>
      <c r="I43" s="574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  <c r="I44" s="574"/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  <c r="I45" s="574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  <c r="I46" s="574"/>
    </row>
    <row r="47" spans="1:9">
      <c r="A47" s="514" t="s">
        <v>864</v>
      </c>
      <c r="B47" s="734"/>
      <c r="C47" s="734"/>
      <c r="D47" s="734"/>
      <c r="E47" s="734"/>
      <c r="F47" s="507">
        <v>251</v>
      </c>
      <c r="G47" s="507"/>
      <c r="H47" s="528"/>
      <c r="I47" s="574"/>
    </row>
    <row r="48" spans="1:9">
      <c r="A48" s="513" t="s">
        <v>865</v>
      </c>
      <c r="B48" s="737" t="s">
        <v>358</v>
      </c>
      <c r="C48" s="737" t="s">
        <v>377</v>
      </c>
      <c r="D48" s="737" t="s">
        <v>384</v>
      </c>
      <c r="E48" s="737" t="s">
        <v>638</v>
      </c>
      <c r="F48" s="506" t="s">
        <v>591</v>
      </c>
      <c r="G48" s="506"/>
      <c r="H48" s="738">
        <f>H49+H51</f>
        <v>54</v>
      </c>
      <c r="I48" s="574"/>
    </row>
    <row r="49" spans="1:9" ht="24">
      <c r="A49" s="514" t="s">
        <v>866</v>
      </c>
      <c r="B49" s="734"/>
      <c r="C49" s="734"/>
      <c r="D49" s="734"/>
      <c r="E49" s="529"/>
      <c r="F49" s="507">
        <v>264</v>
      </c>
      <c r="G49" s="507"/>
      <c r="H49" s="528">
        <f>H50</f>
        <v>0</v>
      </c>
      <c r="I49" s="574"/>
    </row>
    <row r="50" spans="1:9">
      <c r="A50" s="515" t="s">
        <v>592</v>
      </c>
      <c r="B50" s="728"/>
      <c r="C50" s="728"/>
      <c r="D50" s="728"/>
      <c r="E50" s="741"/>
      <c r="F50" s="508">
        <v>264</v>
      </c>
      <c r="G50" s="508" t="s">
        <v>593</v>
      </c>
      <c r="H50" s="264"/>
      <c r="I50" s="574"/>
    </row>
    <row r="51" spans="1:9" ht="24">
      <c r="A51" s="514" t="s">
        <v>607</v>
      </c>
      <c r="B51" s="728" t="s">
        <v>358</v>
      </c>
      <c r="C51" s="728" t="s">
        <v>377</v>
      </c>
      <c r="D51" s="728" t="s">
        <v>384</v>
      </c>
      <c r="E51" s="741" t="s">
        <v>638</v>
      </c>
      <c r="F51" s="507">
        <v>266</v>
      </c>
      <c r="G51" s="507"/>
      <c r="H51" s="730">
        <f ca="1">рЗП!I72</f>
        <v>54</v>
      </c>
      <c r="I51" s="574"/>
    </row>
    <row r="52" spans="1:9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  <c r="I52" s="574"/>
    </row>
    <row r="53" spans="1:9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  <c r="I53" s="574"/>
    </row>
    <row r="54" spans="1:9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  <c r="I54" s="574"/>
    </row>
    <row r="55" spans="1:9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  <c r="I55" s="574"/>
    </row>
    <row r="56" spans="1:9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9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  <c r="I57" s="574"/>
    </row>
    <row r="58" spans="1:9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  <c r="I58" s="574"/>
    </row>
    <row r="59" spans="1:9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  <c r="I59" s="574"/>
    </row>
    <row r="60" spans="1:9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  <c r="I60" s="574"/>
    </row>
    <row r="61" spans="1:9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  <c r="I61" s="574"/>
    </row>
    <row r="62" spans="1:9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  <c r="I62" s="574"/>
    </row>
    <row r="63" spans="1:9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  <c r="I63" s="574"/>
    </row>
    <row r="64" spans="1:9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  <c r="I64" s="574"/>
    </row>
    <row r="65" spans="1:9">
      <c r="A65" s="517" t="s">
        <v>710</v>
      </c>
      <c r="B65" s="728" t="s">
        <v>358</v>
      </c>
      <c r="C65" s="728" t="s">
        <v>377</v>
      </c>
      <c r="D65" s="728" t="s">
        <v>384</v>
      </c>
      <c r="E65" s="741" t="s">
        <v>366</v>
      </c>
      <c r="F65" s="511"/>
      <c r="G65" s="511"/>
      <c r="H65" s="730">
        <f>H18+H19+H21+H22+H40+H41+H51</f>
        <v>9417.0999999999985</v>
      </c>
      <c r="I65" s="574"/>
    </row>
    <row r="66" spans="1:9">
      <c r="A66" s="519" t="s">
        <v>602</v>
      </c>
      <c r="B66" s="728" t="s">
        <v>358</v>
      </c>
      <c r="C66" s="728" t="s">
        <v>377</v>
      </c>
      <c r="D66" s="728" t="s">
        <v>708</v>
      </c>
      <c r="E66" s="728" t="s">
        <v>570</v>
      </c>
      <c r="F66" s="518"/>
      <c r="G66" s="518"/>
      <c r="H66" s="730">
        <f>H59+H16</f>
        <v>9417.1</v>
      </c>
      <c r="I66" s="574"/>
    </row>
    <row r="67" spans="1:9">
      <c r="A67" s="742"/>
      <c r="B67" s="743"/>
      <c r="C67" s="743"/>
      <c r="D67" s="743"/>
      <c r="E67" s="743"/>
      <c r="F67" s="743"/>
      <c r="G67" s="743"/>
      <c r="H67" s="744"/>
    </row>
  </sheetData>
  <mergeCells count="23">
    <mergeCell ref="D5:E5"/>
    <mergeCell ref="F5:H5"/>
    <mergeCell ref="D1:H1"/>
    <mergeCell ref="D2:H2"/>
    <mergeCell ref="D3:H3"/>
    <mergeCell ref="D4:E4"/>
    <mergeCell ref="F4:H4"/>
    <mergeCell ref="G10:H10"/>
    <mergeCell ref="E11:F11"/>
    <mergeCell ref="A6:H6"/>
    <mergeCell ref="A7:H7"/>
    <mergeCell ref="E8:F8"/>
    <mergeCell ref="G8:H8"/>
    <mergeCell ref="G11:H11"/>
    <mergeCell ref="A12:H12"/>
    <mergeCell ref="A9:D9"/>
    <mergeCell ref="E9:F9"/>
    <mergeCell ref="G9:H9"/>
    <mergeCell ref="A14:A15"/>
    <mergeCell ref="B14:G14"/>
    <mergeCell ref="H14:H15"/>
    <mergeCell ref="A10:D10"/>
    <mergeCell ref="E10:F10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R82"/>
  <sheetViews>
    <sheetView topLeftCell="A49" workbookViewId="0">
      <selection activeCell="H72" sqref="H72"/>
    </sheetView>
  </sheetViews>
  <sheetFormatPr defaultColWidth="8.7109375" defaultRowHeight="15"/>
  <cols>
    <col min="1" max="1" width="4.28515625" style="189" customWidth="1"/>
    <col min="2" max="2" width="27.42578125" style="189" customWidth="1"/>
    <col min="3" max="4" width="6.7109375" style="189" customWidth="1"/>
    <col min="5" max="5" width="14.42578125" style="189" customWidth="1"/>
    <col min="6" max="6" width="13.140625" style="189" customWidth="1"/>
    <col min="7" max="7" width="10.7109375" style="189" customWidth="1"/>
    <col min="8" max="11" width="10.5703125" style="189" customWidth="1"/>
    <col min="12" max="12" width="11.42578125" style="189" customWidth="1"/>
    <col min="13" max="13" width="14.7109375" style="189" customWidth="1"/>
    <col min="14" max="14" width="11.85546875" style="189" bestFit="1" customWidth="1"/>
    <col min="15" max="15" width="10.42578125" style="189" bestFit="1" customWidth="1"/>
    <col min="16" max="16" width="9.140625" style="189" customWidth="1"/>
    <col min="17" max="17" width="12.28515625" style="189" customWidth="1"/>
    <col min="18" max="18" width="11.7109375" style="189" bestFit="1" customWidth="1"/>
    <col min="19" max="252" width="9.140625" style="189" customWidth="1"/>
    <col min="253" max="253" width="4.28515625" style="189" customWidth="1"/>
    <col min="254" max="254" width="10.5703125" style="189" customWidth="1"/>
    <col min="255" max="255" width="12" style="189" customWidth="1"/>
    <col min="256" max="16384" width="8.7109375" style="189"/>
  </cols>
  <sheetData>
    <row r="1" spans="1:15" ht="31.5" customHeight="1">
      <c r="A1" s="988" t="s">
        <v>376</v>
      </c>
      <c r="B1" s="988"/>
      <c r="C1" s="988"/>
      <c r="D1" s="988"/>
      <c r="E1" s="988"/>
      <c r="F1" s="988"/>
      <c r="G1" s="988"/>
      <c r="H1" s="988"/>
      <c r="I1" s="988"/>
      <c r="J1" s="190"/>
    </row>
    <row r="2" spans="1:15">
      <c r="A2" s="148"/>
      <c r="B2" s="148"/>
      <c r="C2" s="148"/>
      <c r="D2" s="148"/>
      <c r="E2" s="148"/>
      <c r="F2" s="148"/>
      <c r="G2" s="148"/>
      <c r="H2" s="148"/>
      <c r="I2" s="658"/>
      <c r="J2" s="190"/>
    </row>
    <row r="3" spans="1:15" ht="15.75">
      <c r="A3" s="1038" t="s">
        <v>609</v>
      </c>
      <c r="B3" s="1038"/>
      <c r="C3" s="1038"/>
      <c r="D3" s="1038"/>
      <c r="E3" s="1038"/>
      <c r="F3" s="1038"/>
      <c r="G3" s="1038"/>
      <c r="H3" s="1038"/>
      <c r="I3" s="1038"/>
      <c r="J3" s="190"/>
    </row>
    <row r="4" spans="1:15" ht="15" customHeight="1">
      <c r="A4" s="1004" t="str">
        <f ca="1">'СВОД смет'!A7:H7</f>
        <v>на 2021 год</v>
      </c>
      <c r="B4" s="1004"/>
      <c r="C4" s="1004"/>
      <c r="D4" s="1004"/>
      <c r="E4" s="1004"/>
      <c r="F4" s="1004"/>
      <c r="G4" s="1004"/>
      <c r="H4" s="1004"/>
      <c r="I4" s="1004"/>
      <c r="J4" s="190"/>
    </row>
    <row r="5" spans="1:15" ht="15" customHeight="1">
      <c r="A5" s="153"/>
      <c r="B5" s="153"/>
      <c r="C5" s="153"/>
      <c r="D5" s="153"/>
      <c r="E5" s="153"/>
      <c r="F5" s="153"/>
      <c r="G5" s="153"/>
      <c r="H5" s="153"/>
      <c r="J5" s="190"/>
    </row>
    <row r="6" spans="1:15" ht="15.75" customHeight="1">
      <c r="A6" s="994" t="s">
        <v>610</v>
      </c>
      <c r="B6" s="994"/>
      <c r="C6" s="994"/>
      <c r="D6" s="994"/>
      <c r="E6" s="994"/>
      <c r="F6" s="994"/>
      <c r="G6" s="994"/>
      <c r="H6" s="152"/>
      <c r="J6" s="190"/>
    </row>
    <row r="7" spans="1:15" ht="25.5" customHeight="1">
      <c r="A7" s="198" t="s">
        <v>483</v>
      </c>
      <c r="B7" s="157" t="s">
        <v>715</v>
      </c>
      <c r="C7" s="199" t="s">
        <v>568</v>
      </c>
      <c r="D7" s="198" t="s">
        <v>614</v>
      </c>
      <c r="E7" s="198" t="s">
        <v>642</v>
      </c>
      <c r="F7" s="198" t="s">
        <v>146</v>
      </c>
      <c r="G7" s="198" t="s">
        <v>144</v>
      </c>
      <c r="J7" s="190"/>
    </row>
    <row r="8" spans="1:15">
      <c r="A8" s="159">
        <v>1</v>
      </c>
      <c r="B8" s="159">
        <v>2</v>
      </c>
      <c r="C8" s="159">
        <v>3</v>
      </c>
      <c r="D8" s="159">
        <v>4</v>
      </c>
      <c r="E8" s="159">
        <v>5</v>
      </c>
      <c r="F8" s="159">
        <v>6</v>
      </c>
      <c r="G8" s="159">
        <v>7</v>
      </c>
      <c r="I8" s="201"/>
      <c r="J8" s="190"/>
    </row>
    <row r="9" spans="1:15" ht="24" customHeight="1">
      <c r="A9" s="160">
        <v>1</v>
      </c>
      <c r="B9" s="437" t="s">
        <v>789</v>
      </c>
      <c r="C9" s="154">
        <v>211</v>
      </c>
      <c r="D9" s="154"/>
      <c r="E9" s="154">
        <v>1</v>
      </c>
      <c r="F9" s="607">
        <v>1199340.24</v>
      </c>
      <c r="G9" s="203">
        <f>ROUND(F9/1000,1)+0.1</f>
        <v>1199.3999999999999</v>
      </c>
      <c r="I9" s="195"/>
      <c r="J9" s="190"/>
    </row>
    <row r="10" spans="1:15" ht="24" customHeight="1">
      <c r="A10" s="160">
        <v>2</v>
      </c>
      <c r="B10" s="437" t="s">
        <v>790</v>
      </c>
      <c r="C10" s="154">
        <v>211</v>
      </c>
      <c r="D10" s="154"/>
      <c r="E10" s="154">
        <v>8</v>
      </c>
      <c r="F10" s="607">
        <v>5559764</v>
      </c>
      <c r="G10" s="203">
        <f>ROUND(F10/1000,1)</f>
        <v>5559.8</v>
      </c>
      <c r="J10" s="190"/>
      <c r="M10" s="209"/>
      <c r="N10" s="670"/>
      <c r="O10" s="670"/>
    </row>
    <row r="11" spans="1:15">
      <c r="A11" s="996" t="s">
        <v>617</v>
      </c>
      <c r="B11" s="997"/>
      <c r="C11" s="997"/>
      <c r="D11" s="997"/>
      <c r="E11" s="997"/>
      <c r="F11" s="677">
        <f>SUM(F9:F10)</f>
        <v>6759104.2400000002</v>
      </c>
      <c r="G11" s="664">
        <f>G9+G10</f>
        <v>6759.2</v>
      </c>
      <c r="H11" s="530"/>
      <c r="I11" s="201"/>
      <c r="J11" s="190"/>
      <c r="M11" s="670"/>
      <c r="N11" s="670"/>
      <c r="O11" s="670"/>
    </row>
    <row r="12" spans="1:15" ht="18" customHeight="1">
      <c r="G12" s="200"/>
      <c r="I12" s="190"/>
      <c r="J12" s="190"/>
      <c r="M12" s="190"/>
      <c r="N12" s="190"/>
      <c r="O12" s="190"/>
    </row>
    <row r="13" spans="1:15" ht="15" customHeight="1">
      <c r="A13" s="994" t="s">
        <v>874</v>
      </c>
      <c r="B13" s="994"/>
      <c r="C13" s="994"/>
      <c r="D13" s="994"/>
      <c r="E13" s="994"/>
      <c r="F13" s="994"/>
      <c r="G13" s="994"/>
      <c r="M13" s="190"/>
      <c r="N13" s="190"/>
      <c r="O13" s="190"/>
    </row>
    <row r="14" spans="1:15" ht="25.5" customHeight="1">
      <c r="A14" s="198" t="s">
        <v>483</v>
      </c>
      <c r="B14" s="157" t="s">
        <v>715</v>
      </c>
      <c r="C14" s="199" t="s">
        <v>568</v>
      </c>
      <c r="D14" s="198" t="s">
        <v>614</v>
      </c>
      <c r="E14" s="198" t="s">
        <v>641</v>
      </c>
      <c r="F14" s="198" t="s">
        <v>145</v>
      </c>
      <c r="G14" s="198" t="s">
        <v>147</v>
      </c>
      <c r="M14" s="190"/>
      <c r="N14" s="190"/>
      <c r="O14" s="190"/>
    </row>
    <row r="15" spans="1:15">
      <c r="A15" s="160">
        <v>1</v>
      </c>
      <c r="B15" s="160">
        <v>2</v>
      </c>
      <c r="C15" s="160">
        <v>3</v>
      </c>
      <c r="D15" s="160">
        <v>4</v>
      </c>
      <c r="E15" s="160">
        <v>5</v>
      </c>
      <c r="F15" s="159">
        <v>6</v>
      </c>
      <c r="G15" s="160">
        <v>7</v>
      </c>
      <c r="M15" s="190"/>
      <c r="N15" s="190"/>
      <c r="O15" s="190"/>
    </row>
    <row r="16" spans="1:15" ht="24" customHeight="1">
      <c r="A16" s="160">
        <v>1</v>
      </c>
      <c r="B16" s="437" t="s">
        <v>798</v>
      </c>
      <c r="C16" s="154">
        <v>213</v>
      </c>
      <c r="D16" s="154"/>
      <c r="E16" s="154">
        <f>E9</f>
        <v>1</v>
      </c>
      <c r="F16" s="607">
        <v>355433.89</v>
      </c>
      <c r="G16" s="203">
        <f>ROUND(F16/1000,1)</f>
        <v>355.4</v>
      </c>
      <c r="M16" s="671"/>
      <c r="N16" s="671"/>
      <c r="O16" s="672"/>
    </row>
    <row r="17" spans="1:17" ht="24" customHeight="1">
      <c r="A17" s="160">
        <v>2</v>
      </c>
      <c r="B17" s="437" t="s">
        <v>799</v>
      </c>
      <c r="C17" s="154">
        <v>213</v>
      </c>
      <c r="D17" s="154"/>
      <c r="E17" s="154">
        <f>E10</f>
        <v>8</v>
      </c>
      <c r="F17" s="607">
        <v>1667187.03</v>
      </c>
      <c r="G17" s="203">
        <f>ROUND(F17/1000,1)</f>
        <v>1667.2</v>
      </c>
    </row>
    <row r="18" spans="1:17" ht="15" customHeight="1">
      <c r="A18" s="999" t="s">
        <v>620</v>
      </c>
      <c r="B18" s="1000"/>
      <c r="C18" s="1000"/>
      <c r="D18" s="1000"/>
      <c r="E18" s="1000"/>
      <c r="F18" s="677">
        <f>SUM(F16:F17)</f>
        <v>2022620.92</v>
      </c>
      <c r="G18" s="664">
        <f>G17+G16</f>
        <v>2022.6</v>
      </c>
    </row>
    <row r="19" spans="1:17" ht="15" customHeight="1" thickBot="1"/>
    <row r="20" spans="1:17" ht="25.5">
      <c r="F20" s="191"/>
      <c r="G20" s="660" t="s">
        <v>611</v>
      </c>
      <c r="H20" s="660" t="s">
        <v>612</v>
      </c>
      <c r="I20" s="661" t="s">
        <v>613</v>
      </c>
      <c r="J20" s="662" t="s">
        <v>643</v>
      </c>
      <c r="K20" s="192"/>
      <c r="L20" s="1066" t="s">
        <v>947</v>
      </c>
      <c r="M20" s="1067"/>
      <c r="N20" s="1067"/>
    </row>
    <row r="21" spans="1:17" ht="15" customHeight="1">
      <c r="F21" s="857" t="s">
        <v>616</v>
      </c>
      <c r="G21" s="456">
        <f>22%</f>
        <v>0.22</v>
      </c>
      <c r="H21" s="456">
        <v>5.0999999999999997E-2</v>
      </c>
      <c r="I21" s="456">
        <v>2.9000000000000001E-2</v>
      </c>
      <c r="J21" s="456">
        <v>2E-3</v>
      </c>
      <c r="K21" s="475"/>
      <c r="L21" s="1066"/>
      <c r="M21" s="1067"/>
      <c r="N21" s="1067"/>
    </row>
    <row r="22" spans="1:17" ht="15" customHeight="1">
      <c r="F22" s="194" t="s">
        <v>774</v>
      </c>
      <c r="G22" s="452">
        <f>ROUND(Q22/1000,1)</f>
        <v>1199.3</v>
      </c>
      <c r="H22" s="452">
        <f>ROUND(Q22/1000,1)</f>
        <v>1199.3</v>
      </c>
      <c r="I22" s="453">
        <f>ROUND(N23/1000,1)</f>
        <v>966</v>
      </c>
      <c r="J22" s="452">
        <f>ROUND(Q22/1000,1)</f>
        <v>1199.3</v>
      </c>
      <c r="K22" s="475"/>
      <c r="L22" s="1061" t="s">
        <v>18</v>
      </c>
      <c r="M22" s="1070"/>
      <c r="N22" s="193">
        <v>1465000</v>
      </c>
      <c r="O22" s="1050" t="s">
        <v>795</v>
      </c>
      <c r="P22" s="1050"/>
      <c r="Q22" s="588">
        <v>1199340.24</v>
      </c>
    </row>
    <row r="23" spans="1:17" ht="15" customHeight="1">
      <c r="F23" s="197" t="s">
        <v>775</v>
      </c>
      <c r="G23" s="453">
        <f>ROUND(G22*G21,1)</f>
        <v>263.8</v>
      </c>
      <c r="H23" s="453">
        <f>ROUND(H22*H21,1)</f>
        <v>61.2</v>
      </c>
      <c r="I23" s="453">
        <f>ROUND(I22*I21,1)</f>
        <v>28</v>
      </c>
      <c r="J23" s="453">
        <f>ROUND(J22*J21,1)</f>
        <v>2.4</v>
      </c>
      <c r="K23" s="476">
        <f>SUM(G23:J23)</f>
        <v>355.4</v>
      </c>
      <c r="L23" s="1061" t="s">
        <v>19</v>
      </c>
      <c r="M23" s="1070"/>
      <c r="N23" s="193">
        <v>966000</v>
      </c>
    </row>
    <row r="24" spans="1:17" ht="15" customHeight="1">
      <c r="F24" s="857" t="s">
        <v>150</v>
      </c>
      <c r="G24" s="456">
        <v>0.1</v>
      </c>
      <c r="H24" s="457"/>
      <c r="I24" s="456">
        <v>0</v>
      </c>
      <c r="J24" s="457"/>
      <c r="K24" s="476"/>
    </row>
    <row r="25" spans="1:17" ht="15" customHeight="1">
      <c r="F25" s="194" t="s">
        <v>774</v>
      </c>
      <c r="G25" s="452">
        <f>ROUND((F9-Q22)/1000,1)</f>
        <v>0</v>
      </c>
      <c r="H25" s="452"/>
      <c r="I25" s="452"/>
      <c r="J25" s="452"/>
      <c r="K25" s="476"/>
    </row>
    <row r="26" spans="1:17" ht="15" customHeight="1">
      <c r="F26" s="197" t="s">
        <v>775</v>
      </c>
      <c r="G26" s="451">
        <f>ROUND(G25*G24,1)</f>
        <v>0</v>
      </c>
      <c r="H26" s="451"/>
      <c r="I26" s="451"/>
      <c r="J26" s="451"/>
      <c r="K26" s="476">
        <f>SUM(G26:J26)</f>
        <v>0</v>
      </c>
    </row>
    <row r="27" spans="1:17" ht="15" customHeight="1" thickBot="1">
      <c r="F27" s="1053" t="s">
        <v>477</v>
      </c>
      <c r="G27" s="1054"/>
      <c r="H27" s="1054"/>
      <c r="I27" s="1054"/>
      <c r="J27" s="1054"/>
      <c r="K27" s="477">
        <f>K23+K26</f>
        <v>355.4</v>
      </c>
    </row>
    <row r="28" spans="1:17" ht="15" customHeight="1">
      <c r="F28" s="856" t="s">
        <v>616</v>
      </c>
      <c r="G28" s="458">
        <f>22%</f>
        <v>0.22</v>
      </c>
      <c r="H28" s="458">
        <v>5.0999999999999997E-2</v>
      </c>
      <c r="I28" s="458">
        <v>2.9000000000000001E-2</v>
      </c>
      <c r="J28" s="458">
        <v>2E-3</v>
      </c>
      <c r="K28" s="478"/>
      <c r="L28" s="1066" t="s">
        <v>948</v>
      </c>
      <c r="M28" s="1067"/>
      <c r="N28" s="1067"/>
      <c r="O28" s="1050" t="s">
        <v>791</v>
      </c>
      <c r="P28" s="1050"/>
      <c r="Q28" s="454">
        <v>238252</v>
      </c>
    </row>
    <row r="29" spans="1:17" ht="15" customHeight="1">
      <c r="F29" s="194" t="s">
        <v>774</v>
      </c>
      <c r="G29" s="452">
        <f>ROUND((Q36)/1000,1)</f>
        <v>5559.8</v>
      </c>
      <c r="H29" s="452">
        <f>ROUND(Q36/1000,1)</f>
        <v>5559.8</v>
      </c>
      <c r="I29" s="452">
        <f>ROUND((Q28+Q29+Q30+Q33+Q34+Q35+N31*2)/1000,1)</f>
        <v>5150.7</v>
      </c>
      <c r="J29" s="452">
        <f>ROUND(Q36/1000,1)</f>
        <v>5559.8</v>
      </c>
      <c r="K29" s="476"/>
      <c r="L29" s="1066"/>
      <c r="M29" s="1067"/>
      <c r="N29" s="1067"/>
      <c r="O29" s="1050" t="s">
        <v>792</v>
      </c>
      <c r="P29" s="1050"/>
      <c r="Q29" s="454">
        <v>268128</v>
      </c>
    </row>
    <row r="30" spans="1:17">
      <c r="F30" s="197" t="s">
        <v>775</v>
      </c>
      <c r="G30" s="452">
        <f>ROUND(G29*G28,1)</f>
        <v>1223.2</v>
      </c>
      <c r="H30" s="452">
        <f>ROUND(H29*H28,1)</f>
        <v>283.5</v>
      </c>
      <c r="I30" s="452">
        <f>ROUND(I29*I28,1)</f>
        <v>149.4</v>
      </c>
      <c r="J30" s="452">
        <f>ROUND(J29*J28,1)</f>
        <v>11.1</v>
      </c>
      <c r="K30" s="675">
        <f>SUM(G30:J30)</f>
        <v>1667.2</v>
      </c>
      <c r="L30" s="1060" t="s">
        <v>18</v>
      </c>
      <c r="M30" s="1061"/>
      <c r="N30" s="193">
        <v>1465000</v>
      </c>
      <c r="O30" s="1050" t="s">
        <v>793</v>
      </c>
      <c r="P30" s="1050"/>
      <c r="Q30" s="454">
        <v>111720</v>
      </c>
    </row>
    <row r="31" spans="1:17">
      <c r="F31" s="857" t="s">
        <v>150</v>
      </c>
      <c r="G31" s="456">
        <v>0.1</v>
      </c>
      <c r="H31" s="457"/>
      <c r="I31" s="456">
        <v>0</v>
      </c>
      <c r="J31" s="457"/>
      <c r="K31" s="476"/>
      <c r="L31" s="1060" t="s">
        <v>19</v>
      </c>
      <c r="M31" s="1061"/>
      <c r="N31" s="193">
        <v>966000</v>
      </c>
      <c r="O31" s="1069" t="s">
        <v>794</v>
      </c>
      <c r="P31" s="1069"/>
      <c r="Q31" s="626">
        <v>1256864</v>
      </c>
    </row>
    <row r="32" spans="1:17">
      <c r="F32" s="194" t="s">
        <v>774</v>
      </c>
      <c r="G32" s="452">
        <f>ROUND(Q36/1000-G29,1)</f>
        <v>0</v>
      </c>
      <c r="H32" s="452"/>
      <c r="I32" s="452">
        <f>ROUND(Q36/1000-I29,1)</f>
        <v>409.1</v>
      </c>
      <c r="J32" s="452"/>
      <c r="K32" s="476"/>
      <c r="O32" s="1068" t="s">
        <v>148</v>
      </c>
      <c r="P32" s="1050"/>
      <c r="Q32" s="588">
        <v>1084160</v>
      </c>
    </row>
    <row r="33" spans="1:18">
      <c r="F33" s="197" t="s">
        <v>775</v>
      </c>
      <c r="G33" s="452">
        <f>ROUND(G32*G31,1)</f>
        <v>0</v>
      </c>
      <c r="H33" s="452"/>
      <c r="I33" s="452">
        <f>ROUND(I32*I31,1)</f>
        <v>0</v>
      </c>
      <c r="J33" s="452"/>
      <c r="K33" s="476">
        <f>SUM(G33:J33)</f>
        <v>0</v>
      </c>
      <c r="O33" s="1068" t="s">
        <v>149</v>
      </c>
      <c r="P33" s="1050"/>
      <c r="Q33" s="454">
        <v>893760</v>
      </c>
    </row>
    <row r="34" spans="1:18" ht="16.5" thickBot="1">
      <c r="F34" s="1062" t="s">
        <v>477</v>
      </c>
      <c r="G34" s="1063"/>
      <c r="H34" s="1063"/>
      <c r="I34" s="1063"/>
      <c r="J34" s="1063"/>
      <c r="K34" s="479">
        <f>K30+K33</f>
        <v>1667.2</v>
      </c>
      <c r="O34" s="1068" t="s">
        <v>149</v>
      </c>
      <c r="P34" s="1050"/>
      <c r="Q34" s="454">
        <v>893760</v>
      </c>
    </row>
    <row r="35" spans="1:18">
      <c r="O35" s="1068" t="s">
        <v>149</v>
      </c>
      <c r="P35" s="1050"/>
      <c r="Q35" s="454">
        <v>813120</v>
      </c>
    </row>
    <row r="36" spans="1:18">
      <c r="A36" s="227"/>
      <c r="B36" s="227"/>
      <c r="C36" s="227"/>
      <c r="D36" s="227"/>
      <c r="E36" s="227"/>
      <c r="F36" s="226"/>
      <c r="O36" s="1065" t="s">
        <v>796</v>
      </c>
      <c r="P36" s="1065"/>
      <c r="Q36" s="455">
        <f>SUM(Q28:Q35)</f>
        <v>5559764</v>
      </c>
    </row>
    <row r="37" spans="1:18">
      <c r="A37" s="227"/>
      <c r="B37" s="227"/>
      <c r="C37" s="227"/>
      <c r="D37" s="227"/>
      <c r="E37" s="227"/>
      <c r="F37" s="227"/>
      <c r="G37" s="226"/>
      <c r="P37" s="673"/>
      <c r="Q37" s="673"/>
      <c r="R37" s="674"/>
    </row>
    <row r="38" spans="1:18">
      <c r="A38" s="1064" t="s">
        <v>688</v>
      </c>
      <c r="B38" s="1064"/>
      <c r="C38" s="1064"/>
      <c r="D38" s="1064"/>
      <c r="E38" s="1064"/>
      <c r="F38" s="1064"/>
      <c r="G38" s="1064"/>
    </row>
    <row r="39" spans="1:18" s="204" customFormat="1" ht="38.25" customHeight="1">
      <c r="A39" s="198" t="s">
        <v>483</v>
      </c>
      <c r="B39" s="157" t="s">
        <v>715</v>
      </c>
      <c r="C39" s="199" t="s">
        <v>568</v>
      </c>
      <c r="D39" s="198" t="s">
        <v>614</v>
      </c>
      <c r="E39" s="198" t="s">
        <v>776</v>
      </c>
      <c r="F39" s="198" t="s">
        <v>777</v>
      </c>
      <c r="G39" s="198" t="s">
        <v>626</v>
      </c>
    </row>
    <row r="40" spans="1:18">
      <c r="A40" s="205">
        <v>1</v>
      </c>
      <c r="B40" s="639">
        <v>2</v>
      </c>
      <c r="C40" s="206">
        <v>3</v>
      </c>
      <c r="D40" s="206">
        <v>4</v>
      </c>
      <c r="E40" s="206">
        <v>5</v>
      </c>
      <c r="F40" s="639">
        <v>6</v>
      </c>
      <c r="G40" s="206">
        <v>7</v>
      </c>
    </row>
    <row r="41" spans="1:18" ht="24">
      <c r="A41" s="205">
        <v>1</v>
      </c>
      <c r="B41" s="637" t="s">
        <v>646</v>
      </c>
      <c r="C41" s="199">
        <v>214</v>
      </c>
      <c r="D41" s="199">
        <v>831</v>
      </c>
      <c r="E41" s="228" t="s">
        <v>151</v>
      </c>
      <c r="F41" s="638">
        <v>112000</v>
      </c>
      <c r="G41" s="231">
        <f t="shared" ref="G41:G48" si="0">ROUND((F41/1000),1)</f>
        <v>112</v>
      </c>
    </row>
    <row r="42" spans="1:18">
      <c r="A42" s="205">
        <v>2</v>
      </c>
      <c r="B42" s="637" t="s">
        <v>646</v>
      </c>
      <c r="C42" s="199">
        <v>214</v>
      </c>
      <c r="D42" s="199">
        <v>831</v>
      </c>
      <c r="E42" s="228" t="s">
        <v>647</v>
      </c>
      <c r="F42" s="638">
        <v>0</v>
      </c>
      <c r="G42" s="231">
        <f t="shared" si="0"/>
        <v>0</v>
      </c>
    </row>
    <row r="43" spans="1:18" ht="24">
      <c r="A43" s="205">
        <v>3</v>
      </c>
      <c r="B43" s="637" t="s">
        <v>646</v>
      </c>
      <c r="C43" s="199">
        <v>214</v>
      </c>
      <c r="D43" s="199">
        <v>831</v>
      </c>
      <c r="E43" s="228" t="s">
        <v>14</v>
      </c>
      <c r="F43" s="638">
        <v>0</v>
      </c>
      <c r="G43" s="231">
        <f t="shared" si="0"/>
        <v>0</v>
      </c>
      <c r="H43" s="209"/>
    </row>
    <row r="44" spans="1:18">
      <c r="A44" s="205">
        <v>4</v>
      </c>
      <c r="B44" s="637" t="s">
        <v>646</v>
      </c>
      <c r="C44" s="199">
        <v>214</v>
      </c>
      <c r="D44" s="199">
        <v>831</v>
      </c>
      <c r="E44" s="228" t="s">
        <v>98</v>
      </c>
      <c r="F44" s="638">
        <v>52000</v>
      </c>
      <c r="G44" s="231">
        <f t="shared" si="0"/>
        <v>52</v>
      </c>
      <c r="H44" s="152"/>
    </row>
    <row r="45" spans="1:18">
      <c r="A45" s="205">
        <v>5</v>
      </c>
      <c r="B45" s="637" t="s">
        <v>646</v>
      </c>
      <c r="C45" s="199">
        <v>214</v>
      </c>
      <c r="D45" s="199">
        <v>831</v>
      </c>
      <c r="E45" s="228" t="s">
        <v>99</v>
      </c>
      <c r="F45" s="638">
        <v>45000</v>
      </c>
      <c r="G45" s="231">
        <f t="shared" si="0"/>
        <v>45</v>
      </c>
      <c r="H45" s="152"/>
    </row>
    <row r="46" spans="1:18">
      <c r="A46" s="205">
        <v>6</v>
      </c>
      <c r="B46" s="637" t="s">
        <v>646</v>
      </c>
      <c r="C46" s="199">
        <v>214</v>
      </c>
      <c r="D46" s="199">
        <v>831</v>
      </c>
      <c r="E46" s="229" t="s">
        <v>689</v>
      </c>
      <c r="F46" s="632">
        <v>25000</v>
      </c>
      <c r="G46" s="240">
        <f t="shared" si="0"/>
        <v>25</v>
      </c>
      <c r="H46" s="152"/>
    </row>
    <row r="47" spans="1:18">
      <c r="A47" s="205">
        <v>7</v>
      </c>
      <c r="B47" s="640" t="s">
        <v>646</v>
      </c>
      <c r="C47" s="199">
        <v>214</v>
      </c>
      <c r="D47" s="199">
        <v>831</v>
      </c>
      <c r="E47" s="229" t="s">
        <v>121</v>
      </c>
      <c r="F47" s="638">
        <v>0</v>
      </c>
      <c r="G47" s="240">
        <f t="shared" si="0"/>
        <v>0</v>
      </c>
      <c r="H47" s="152"/>
      <c r="I47" s="210"/>
    </row>
    <row r="48" spans="1:18">
      <c r="A48" s="205">
        <v>8</v>
      </c>
      <c r="B48" s="640" t="s">
        <v>646</v>
      </c>
      <c r="C48" s="199">
        <v>214</v>
      </c>
      <c r="D48" s="199">
        <v>831</v>
      </c>
      <c r="E48" s="229" t="s">
        <v>97</v>
      </c>
      <c r="F48" s="638">
        <v>42000</v>
      </c>
      <c r="G48" s="240">
        <f t="shared" si="0"/>
        <v>42</v>
      </c>
      <c r="H48" s="152"/>
      <c r="I48" s="210"/>
    </row>
    <row r="49" spans="1:12">
      <c r="A49" s="205">
        <v>9</v>
      </c>
      <c r="B49" s="640" t="s">
        <v>646</v>
      </c>
      <c r="C49" s="199">
        <v>214</v>
      </c>
      <c r="D49" s="199">
        <v>831</v>
      </c>
      <c r="E49" s="229" t="s">
        <v>152</v>
      </c>
      <c r="F49" s="638">
        <v>0</v>
      </c>
      <c r="G49" s="240">
        <f>ROUND((F49/1000),1)</f>
        <v>0</v>
      </c>
      <c r="H49" s="152"/>
      <c r="I49" s="210"/>
    </row>
    <row r="50" spans="1:12">
      <c r="A50" s="1047" t="s">
        <v>652</v>
      </c>
      <c r="B50" s="1048"/>
      <c r="C50" s="1048"/>
      <c r="D50" s="1048"/>
      <c r="E50" s="1048"/>
      <c r="F50" s="852">
        <f>SUM(F41:F48)</f>
        <v>276000</v>
      </c>
      <c r="G50" s="241">
        <f>SUM(G41:G48)</f>
        <v>276</v>
      </c>
      <c r="H50" s="832"/>
      <c r="I50" s="210"/>
    </row>
    <row r="51" spans="1:12">
      <c r="F51" s="204"/>
      <c r="G51" s="181"/>
      <c r="H51" s="152"/>
      <c r="I51" s="210"/>
    </row>
    <row r="52" spans="1:12" ht="15.75" customHeight="1"/>
    <row r="53" spans="1:12" ht="15.75" customHeight="1">
      <c r="A53" s="998" t="s">
        <v>645</v>
      </c>
      <c r="B53" s="998"/>
      <c r="C53" s="998"/>
      <c r="D53" s="998"/>
      <c r="E53" s="998"/>
      <c r="F53" s="998"/>
      <c r="G53" s="998"/>
      <c r="H53" s="998"/>
      <c r="I53" s="998"/>
    </row>
    <row r="54" spans="1:12" ht="36" customHeight="1">
      <c r="A54" s="198" t="s">
        <v>483</v>
      </c>
      <c r="B54" s="157" t="s">
        <v>715</v>
      </c>
      <c r="C54" s="199" t="s">
        <v>568</v>
      </c>
      <c r="D54" s="198" t="s">
        <v>614</v>
      </c>
      <c r="E54" s="198" t="s">
        <v>648</v>
      </c>
      <c r="F54" s="198" t="s">
        <v>649</v>
      </c>
      <c r="G54" s="198" t="s">
        <v>650</v>
      </c>
      <c r="H54" s="238" t="s">
        <v>690</v>
      </c>
      <c r="I54" s="198" t="s">
        <v>626</v>
      </c>
    </row>
    <row r="55" spans="1:12" ht="15.75" customHeight="1">
      <c r="A55" s="205">
        <v>1</v>
      </c>
      <c r="B55" s="639">
        <v>2</v>
      </c>
      <c r="C55" s="206">
        <v>3</v>
      </c>
      <c r="D55" s="206">
        <v>4</v>
      </c>
      <c r="E55" s="206">
        <v>5</v>
      </c>
      <c r="F55" s="639">
        <v>6</v>
      </c>
      <c r="G55" s="206">
        <v>7</v>
      </c>
      <c r="H55" s="166">
        <v>8</v>
      </c>
      <c r="I55" s="208">
        <v>9</v>
      </c>
    </row>
    <row r="56" spans="1:12" ht="24">
      <c r="A56" s="159">
        <v>1</v>
      </c>
      <c r="B56" s="641" t="s">
        <v>15</v>
      </c>
      <c r="C56" s="157">
        <v>212</v>
      </c>
      <c r="D56" s="154">
        <v>610</v>
      </c>
      <c r="E56" s="154">
        <v>4</v>
      </c>
      <c r="F56" s="199">
        <f>54</f>
        <v>54</v>
      </c>
      <c r="G56" s="410">
        <v>400</v>
      </c>
      <c r="H56" s="851">
        <f>F56*G56</f>
        <v>21600</v>
      </c>
      <c r="I56" s="231">
        <f>ROUND(H56/1000,1)</f>
        <v>21.6</v>
      </c>
      <c r="J56" s="474"/>
    </row>
    <row r="57" spans="1:12" ht="15.75" customHeight="1">
      <c r="A57" s="1059" t="s">
        <v>651</v>
      </c>
      <c r="B57" s="1059"/>
      <c r="C57" s="1059"/>
      <c r="D57" s="1059"/>
      <c r="E57" s="1059"/>
      <c r="F57" s="1059"/>
      <c r="G57" s="1059"/>
      <c r="H57" s="652">
        <f>H56</f>
        <v>21600</v>
      </c>
      <c r="I57" s="232">
        <f>I56</f>
        <v>21.6</v>
      </c>
    </row>
    <row r="58" spans="1:12" s="204" customFormat="1" ht="15.75" customHeight="1">
      <c r="A58" s="665"/>
      <c r="B58" s="665"/>
      <c r="C58" s="665"/>
      <c r="D58" s="665"/>
      <c r="E58" s="665"/>
      <c r="F58" s="665"/>
      <c r="G58" s="665"/>
      <c r="H58" s="667"/>
      <c r="I58" s="668"/>
    </row>
    <row r="60" spans="1:12">
      <c r="A60" s="1058" t="s">
        <v>672</v>
      </c>
      <c r="B60" s="1058"/>
      <c r="C60" s="1058"/>
      <c r="D60" s="1058"/>
      <c r="E60" s="1058"/>
      <c r="F60" s="1058"/>
      <c r="G60" s="1058"/>
      <c r="H60" s="1058"/>
      <c r="I60" s="1058"/>
    </row>
    <row r="61" spans="1:12" ht="24" customHeight="1">
      <c r="A61" s="198" t="s">
        <v>483</v>
      </c>
      <c r="B61" s="157" t="s">
        <v>715</v>
      </c>
      <c r="C61" s="199" t="s">
        <v>568</v>
      </c>
      <c r="D61" s="198" t="s">
        <v>614</v>
      </c>
      <c r="E61" s="198" t="s">
        <v>648</v>
      </c>
      <c r="F61" s="198" t="s">
        <v>649</v>
      </c>
      <c r="G61" s="198" t="s">
        <v>694</v>
      </c>
      <c r="H61" s="238" t="s">
        <v>690</v>
      </c>
      <c r="I61" s="198" t="s">
        <v>626</v>
      </c>
      <c r="L61" s="215"/>
    </row>
    <row r="62" spans="1:12">
      <c r="A62" s="208">
        <v>1</v>
      </c>
      <c r="B62" s="643">
        <v>2</v>
      </c>
      <c r="C62" s="205">
        <v>3</v>
      </c>
      <c r="D62" s="208">
        <v>4</v>
      </c>
      <c r="E62" s="208">
        <v>5</v>
      </c>
      <c r="F62" s="643">
        <v>6</v>
      </c>
      <c r="G62" s="208">
        <v>7</v>
      </c>
      <c r="H62" s="253">
        <v>8</v>
      </c>
      <c r="I62" s="208">
        <v>9</v>
      </c>
      <c r="L62" s="215"/>
    </row>
    <row r="63" spans="1:12" ht="24.75" customHeight="1">
      <c r="A63" s="160">
        <v>1</v>
      </c>
      <c r="B63" s="641" t="s">
        <v>16</v>
      </c>
      <c r="C63" s="198">
        <v>226</v>
      </c>
      <c r="D63" s="154">
        <v>620</v>
      </c>
      <c r="E63" s="154">
        <v>4</v>
      </c>
      <c r="F63" s="154">
        <v>54</v>
      </c>
      <c r="G63" s="217">
        <v>9990</v>
      </c>
      <c r="H63" s="462">
        <f>G63*2*2+G63*3*2</f>
        <v>99900</v>
      </c>
      <c r="I63" s="203">
        <f>ROUND(H63/1000,1)</f>
        <v>99.9</v>
      </c>
      <c r="J63" s="474"/>
      <c r="L63" s="215"/>
    </row>
    <row r="64" spans="1:12" ht="24.75" customHeight="1">
      <c r="A64" s="160">
        <v>2</v>
      </c>
      <c r="B64" s="645" t="s">
        <v>17</v>
      </c>
      <c r="C64" s="198">
        <v>226</v>
      </c>
      <c r="D64" s="154">
        <v>630</v>
      </c>
      <c r="E64" s="154">
        <v>4</v>
      </c>
      <c r="F64" s="154">
        <f>54</f>
        <v>54</v>
      </c>
      <c r="G64" s="254">
        <v>3750</v>
      </c>
      <c r="H64" s="850">
        <f>(G64*2*7)+(G64*1*14)+(G64*1*14)+(G64*1*7)</f>
        <v>183750</v>
      </c>
      <c r="I64" s="203">
        <f>ROUND(H64/1000,1)</f>
        <v>183.8</v>
      </c>
      <c r="J64" s="474"/>
      <c r="L64" s="215"/>
    </row>
    <row r="65" spans="1:12" ht="13.5" customHeight="1">
      <c r="A65" s="1055" t="s">
        <v>695</v>
      </c>
      <c r="B65" s="1056"/>
      <c r="C65" s="1056"/>
      <c r="D65" s="1056"/>
      <c r="E65" s="1056"/>
      <c r="F65" s="1056"/>
      <c r="G65" s="1057"/>
      <c r="H65" s="462">
        <f>SUM(H63:H64)</f>
        <v>283650</v>
      </c>
      <c r="I65" s="659">
        <f>SUM(I63:I64)</f>
        <v>283.70000000000005</v>
      </c>
      <c r="L65" s="215"/>
    </row>
    <row r="66" spans="1:12">
      <c r="A66" s="1011" t="s">
        <v>633</v>
      </c>
      <c r="B66" s="1011"/>
      <c r="C66" s="1011"/>
      <c r="D66" s="1011"/>
      <c r="E66" s="1011"/>
      <c r="F66" s="1011"/>
      <c r="G66" s="1011"/>
      <c r="H66" s="676">
        <f>H65</f>
        <v>283650</v>
      </c>
      <c r="I66" s="266">
        <f>I65</f>
        <v>283.70000000000005</v>
      </c>
      <c r="L66" s="215"/>
    </row>
    <row r="68" spans="1:12">
      <c r="A68" s="994" t="s">
        <v>700</v>
      </c>
      <c r="B68" s="994"/>
      <c r="C68" s="994"/>
      <c r="D68" s="994"/>
      <c r="E68" s="994"/>
      <c r="F68" s="994"/>
      <c r="G68" s="994"/>
      <c r="H68" s="994"/>
      <c r="I68" s="994"/>
    </row>
    <row r="69" spans="1:12" ht="37.5" customHeight="1">
      <c r="A69" s="198" t="s">
        <v>483</v>
      </c>
      <c r="B69" s="157" t="s">
        <v>715</v>
      </c>
      <c r="C69" s="199" t="s">
        <v>568</v>
      </c>
      <c r="D69" s="198" t="s">
        <v>614</v>
      </c>
      <c r="E69" s="198" t="s">
        <v>635</v>
      </c>
      <c r="F69" s="198" t="s">
        <v>702</v>
      </c>
      <c r="G69" s="198" t="s">
        <v>703</v>
      </c>
      <c r="H69" s="238" t="s">
        <v>690</v>
      </c>
      <c r="I69" s="198" t="s">
        <v>626</v>
      </c>
    </row>
    <row r="70" spans="1:12">
      <c r="A70" s="160">
        <v>1</v>
      </c>
      <c r="B70" s="160">
        <v>2</v>
      </c>
      <c r="C70" s="160">
        <v>3</v>
      </c>
      <c r="D70" s="160">
        <v>4</v>
      </c>
      <c r="E70" s="160">
        <v>5</v>
      </c>
      <c r="F70" s="160">
        <v>6</v>
      </c>
      <c r="G70" s="160">
        <v>7</v>
      </c>
      <c r="H70" s="166">
        <v>8</v>
      </c>
      <c r="I70" s="160">
        <v>9</v>
      </c>
    </row>
    <row r="71" spans="1:12" ht="60">
      <c r="A71" s="160">
        <v>1</v>
      </c>
      <c r="B71" s="629" t="s">
        <v>701</v>
      </c>
      <c r="C71" s="157">
        <v>266</v>
      </c>
      <c r="D71" s="218"/>
      <c r="E71" s="157">
        <v>1</v>
      </c>
      <c r="F71" s="635">
        <v>9000</v>
      </c>
      <c r="G71" s="198">
        <v>6</v>
      </c>
      <c r="H71" s="249">
        <f>E71*F71*G71</f>
        <v>54000</v>
      </c>
      <c r="I71" s="231">
        <f>ROUND(H71/1000,1)</f>
        <v>54</v>
      </c>
      <c r="J71" s="849"/>
    </row>
    <row r="72" spans="1:12">
      <c r="A72" s="1051" t="s">
        <v>704</v>
      </c>
      <c r="B72" s="1052"/>
      <c r="C72" s="1052"/>
      <c r="D72" s="1052"/>
      <c r="E72" s="1052"/>
      <c r="F72" s="1052"/>
      <c r="G72" s="1052"/>
      <c r="H72" s="256">
        <f>H71</f>
        <v>54000</v>
      </c>
      <c r="I72" s="241">
        <f>I71</f>
        <v>54</v>
      </c>
      <c r="J72" s="531"/>
    </row>
    <row r="74" spans="1:12">
      <c r="H74" s="212"/>
    </row>
    <row r="75" spans="1:12">
      <c r="A75" s="992" t="s">
        <v>621</v>
      </c>
      <c r="B75" s="992"/>
      <c r="C75" s="162"/>
      <c r="D75" s="993"/>
      <c r="E75" s="993"/>
      <c r="F75" s="162"/>
      <c r="G75" s="993" t="str">
        <f ca="1">рВДЛ!G29</f>
        <v>М.В. Златова</v>
      </c>
      <c r="H75" s="993"/>
    </row>
    <row r="76" spans="1:12">
      <c r="A76" s="1001" t="s">
        <v>554</v>
      </c>
      <c r="B76" s="1001"/>
      <c r="C76" s="163"/>
      <c r="D76" s="1002" t="s">
        <v>555</v>
      </c>
      <c r="E76" s="1002"/>
      <c r="F76" s="163"/>
      <c r="G76" s="1002" t="s">
        <v>556</v>
      </c>
      <c r="H76" s="1002"/>
    </row>
    <row r="77" spans="1:12">
      <c r="A77" s="992" t="str">
        <f ca="1">рВДЛ!A31</f>
        <v>Исполнитель: финансист</v>
      </c>
      <c r="B77" s="992"/>
      <c r="C77" s="162"/>
      <c r="D77" s="993"/>
      <c r="E77" s="993"/>
      <c r="F77" s="162"/>
      <c r="G77" s="993" t="str">
        <f ca="1">рВДЛ!G31</f>
        <v>Е.Н. Рыбалка</v>
      </c>
      <c r="H77" s="993"/>
    </row>
    <row r="78" spans="1:12">
      <c r="A78" s="1001" t="s">
        <v>554</v>
      </c>
      <c r="B78" s="1001"/>
      <c r="C78" s="163"/>
      <c r="D78" s="1002" t="s">
        <v>555</v>
      </c>
      <c r="E78" s="1002"/>
      <c r="F78" s="163"/>
      <c r="G78" s="1002" t="s">
        <v>556</v>
      </c>
      <c r="H78" s="1002"/>
    </row>
    <row r="82" spans="7:7">
      <c r="G82" s="196"/>
    </row>
  </sheetData>
  <mergeCells count="46">
    <mergeCell ref="A1:I1"/>
    <mergeCell ref="L22:M22"/>
    <mergeCell ref="A3:I3"/>
    <mergeCell ref="L23:M23"/>
    <mergeCell ref="A4:I4"/>
    <mergeCell ref="A6:G6"/>
    <mergeCell ref="A11:E11"/>
    <mergeCell ref="A13:G13"/>
    <mergeCell ref="A18:E18"/>
    <mergeCell ref="L20:N21"/>
    <mergeCell ref="O34:P34"/>
    <mergeCell ref="O35:P35"/>
    <mergeCell ref="L28:N29"/>
    <mergeCell ref="L30:M30"/>
    <mergeCell ref="O31:P31"/>
    <mergeCell ref="O32:P32"/>
    <mergeCell ref="O33:P33"/>
    <mergeCell ref="A50:E50"/>
    <mergeCell ref="A60:I60"/>
    <mergeCell ref="A57:G57"/>
    <mergeCell ref="A53:I53"/>
    <mergeCell ref="O29:P29"/>
    <mergeCell ref="O30:P30"/>
    <mergeCell ref="L31:M31"/>
    <mergeCell ref="F34:J34"/>
    <mergeCell ref="A38:G38"/>
    <mergeCell ref="O36:P36"/>
    <mergeCell ref="O22:P22"/>
    <mergeCell ref="A77:B77"/>
    <mergeCell ref="D77:E77"/>
    <mergeCell ref="G77:H77"/>
    <mergeCell ref="A72:G72"/>
    <mergeCell ref="A68:I68"/>
    <mergeCell ref="A66:G66"/>
    <mergeCell ref="O28:P28"/>
    <mergeCell ref="F27:J27"/>
    <mergeCell ref="A65:G65"/>
    <mergeCell ref="A78:B78"/>
    <mergeCell ref="D78:E78"/>
    <mergeCell ref="G78:H78"/>
    <mergeCell ref="A75:B75"/>
    <mergeCell ref="D75:E75"/>
    <mergeCell ref="G75:H75"/>
    <mergeCell ref="A76:B76"/>
    <mergeCell ref="D76:E76"/>
    <mergeCell ref="G76:H76"/>
  </mergeCells>
  <phoneticPr fontId="0" type="noConversion"/>
  <pageMargins left="0.7" right="0.7" top="0.75" bottom="0.75" header="0.3" footer="0.3"/>
  <pageSetup paperSize="9" orientation="portrait" verticalDpi="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8"/>
  <sheetViews>
    <sheetView showZeros="0" topLeftCell="A36" workbookViewId="0">
      <selection activeCell="H59" sqref="H59"/>
    </sheetView>
  </sheetViews>
  <sheetFormatPr defaultColWidth="11.42578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474" customWidth="1"/>
    <col min="10" max="252" width="9.140625" style="669" customWidth="1"/>
    <col min="253" max="253" width="49.42578125" style="669" customWidth="1"/>
    <col min="254" max="255" width="3.5703125" style="669" customWidth="1"/>
    <col min="256" max="16384" width="11.42578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74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74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74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74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74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75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76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76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7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7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78"/>
    </row>
    <row r="12" spans="1:9" s="170" customFormat="1" ht="33.75" customHeight="1">
      <c r="A12" s="988" t="s">
        <v>376</v>
      </c>
      <c r="B12" s="988"/>
      <c r="C12" s="988"/>
      <c r="D12" s="988"/>
      <c r="E12" s="988"/>
      <c r="F12" s="988"/>
      <c r="G12" s="988"/>
      <c r="H12" s="988"/>
      <c r="I12" s="779"/>
    </row>
    <row r="13" spans="1:9" s="170" customFormat="1" ht="6" customHeight="1">
      <c r="E13" s="722"/>
      <c r="F13" s="722"/>
      <c r="G13" s="722"/>
      <c r="H13" s="722"/>
      <c r="I13" s="779"/>
    </row>
    <row r="14" spans="1:9" s="170" customFormat="1" ht="12.75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779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80"/>
    </row>
    <row r="16" spans="1:9">
      <c r="A16" s="512" t="s">
        <v>852</v>
      </c>
      <c r="B16" s="529" t="s">
        <v>358</v>
      </c>
      <c r="C16" s="529" t="s">
        <v>377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1550.2</v>
      </c>
      <c r="I16" s="574"/>
    </row>
    <row r="17" spans="1:9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  <c r="I17" s="574"/>
    </row>
    <row r="18" spans="1:9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  <c r="I18" s="574"/>
    </row>
    <row r="19" spans="1:9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  <c r="I19" s="574"/>
    </row>
    <row r="20" spans="1:9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  <c r="I20" s="574"/>
    </row>
    <row r="21" spans="1:9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  <c r="I21" s="574"/>
    </row>
    <row r="22" spans="1:9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  <c r="I22" s="574"/>
    </row>
    <row r="23" spans="1:9">
      <c r="A23" s="515" t="s">
        <v>646</v>
      </c>
      <c r="B23" s="732"/>
      <c r="C23" s="732"/>
      <c r="D23" s="732"/>
      <c r="E23" s="733"/>
      <c r="F23" s="508">
        <v>214</v>
      </c>
      <c r="G23" s="508">
        <v>831</v>
      </c>
      <c r="H23" s="264"/>
      <c r="I23" s="574"/>
    </row>
    <row r="24" spans="1:9">
      <c r="A24" s="513" t="s">
        <v>857</v>
      </c>
      <c r="B24" s="726" t="s">
        <v>358</v>
      </c>
      <c r="C24" s="726" t="s">
        <v>377</v>
      </c>
      <c r="D24" s="726" t="s">
        <v>384</v>
      </c>
      <c r="E24" s="726" t="s">
        <v>570</v>
      </c>
      <c r="F24" s="506">
        <v>220</v>
      </c>
      <c r="G24" s="506"/>
      <c r="H24" s="727">
        <f>H25+H26+H28+H32+H36</f>
        <v>1385.2</v>
      </c>
      <c r="I24" s="574"/>
    </row>
    <row r="25" spans="1:9">
      <c r="A25" s="514" t="s">
        <v>576</v>
      </c>
      <c r="B25" s="728" t="s">
        <v>358</v>
      </c>
      <c r="C25" s="728" t="s">
        <v>377</v>
      </c>
      <c r="D25" s="728" t="s">
        <v>384</v>
      </c>
      <c r="E25" s="728" t="s">
        <v>640</v>
      </c>
      <c r="F25" s="507">
        <v>221</v>
      </c>
      <c r="G25" s="507"/>
      <c r="H25" s="730">
        <f ca="1">рАУП!I15</f>
        <v>374</v>
      </c>
      <c r="I25" s="574"/>
    </row>
    <row r="26" spans="1:9">
      <c r="A26" s="514" t="s">
        <v>858</v>
      </c>
      <c r="B26" s="728" t="s">
        <v>358</v>
      </c>
      <c r="C26" s="728" t="s">
        <v>377</v>
      </c>
      <c r="D26" s="728" t="s">
        <v>384</v>
      </c>
      <c r="E26" s="728" t="s">
        <v>640</v>
      </c>
      <c r="F26" s="507">
        <v>222</v>
      </c>
      <c r="G26" s="507"/>
      <c r="H26" s="730">
        <f ca="1">H27</f>
        <v>10</v>
      </c>
      <c r="I26" s="574"/>
    </row>
    <row r="27" spans="1:9">
      <c r="A27" s="515" t="s">
        <v>577</v>
      </c>
      <c r="B27" s="732" t="s">
        <v>358</v>
      </c>
      <c r="C27" s="732" t="s">
        <v>377</v>
      </c>
      <c r="D27" s="732" t="s">
        <v>384</v>
      </c>
      <c r="E27" s="732" t="s">
        <v>640</v>
      </c>
      <c r="F27" s="508">
        <v>222</v>
      </c>
      <c r="G27" s="508">
        <v>500</v>
      </c>
      <c r="H27" s="264">
        <f ca="1">рАУП!H21</f>
        <v>10</v>
      </c>
      <c r="I27" s="574"/>
    </row>
    <row r="28" spans="1:9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  <c r="I28" s="574"/>
    </row>
    <row r="29" spans="1:9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  <c r="I29" s="574"/>
    </row>
    <row r="30" spans="1:9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  <c r="I30" s="574"/>
    </row>
    <row r="31" spans="1:9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  <c r="I31" s="574"/>
    </row>
    <row r="32" spans="1:9">
      <c r="A32" s="514" t="s">
        <v>859</v>
      </c>
      <c r="B32" s="728" t="s">
        <v>358</v>
      </c>
      <c r="C32" s="728" t="s">
        <v>377</v>
      </c>
      <c r="D32" s="728" t="s">
        <v>384</v>
      </c>
      <c r="E32" s="728" t="s">
        <v>640</v>
      </c>
      <c r="F32" s="507">
        <v>225</v>
      </c>
      <c r="G32" s="507"/>
      <c r="H32" s="730">
        <f>SUM(H33:H35)</f>
        <v>131.5</v>
      </c>
      <c r="I32" s="574"/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>
        <f ca="1">рАУП!I27</f>
        <v>37.799999999999997</v>
      </c>
      <c r="I33" s="574"/>
    </row>
    <row r="34" spans="1:9" ht="24">
      <c r="A34" s="515" t="s">
        <v>860</v>
      </c>
      <c r="B34" s="732" t="s">
        <v>358</v>
      </c>
      <c r="C34" s="732" t="s">
        <v>377</v>
      </c>
      <c r="D34" s="732" t="s">
        <v>384</v>
      </c>
      <c r="E34" s="732" t="s">
        <v>640</v>
      </c>
      <c r="F34" s="508">
        <v>225</v>
      </c>
      <c r="G34" s="508" t="s">
        <v>583</v>
      </c>
      <c r="H34" s="264">
        <f ca="1">рАУП!I34</f>
        <v>93.7</v>
      </c>
      <c r="I34" s="574"/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  <c r="I35" s="574"/>
    </row>
    <row r="36" spans="1:9">
      <c r="A36" s="514" t="s">
        <v>785</v>
      </c>
      <c r="B36" s="728" t="s">
        <v>358</v>
      </c>
      <c r="C36" s="728" t="s">
        <v>377</v>
      </c>
      <c r="D36" s="728" t="s">
        <v>384</v>
      </c>
      <c r="E36" s="728" t="s">
        <v>570</v>
      </c>
      <c r="F36" s="507" t="s">
        <v>575</v>
      </c>
      <c r="G36" s="507"/>
      <c r="H36" s="730">
        <f ca="1">SUM(H37:H43)</f>
        <v>869.7</v>
      </c>
      <c r="I36" s="574"/>
    </row>
    <row r="37" spans="1:9">
      <c r="A37" s="515" t="s">
        <v>584</v>
      </c>
      <c r="B37" s="732" t="s">
        <v>358</v>
      </c>
      <c r="C37" s="732" t="s">
        <v>377</v>
      </c>
      <c r="D37" s="732" t="s">
        <v>384</v>
      </c>
      <c r="E37" s="732" t="s">
        <v>640</v>
      </c>
      <c r="F37" s="508">
        <v>226</v>
      </c>
      <c r="G37" s="508" t="s">
        <v>585</v>
      </c>
      <c r="H37" s="264">
        <f ca="1">рАУП!I41</f>
        <v>20.100000000000001</v>
      </c>
      <c r="I37" s="574"/>
    </row>
    <row r="38" spans="1:9">
      <c r="A38" s="515" t="s">
        <v>586</v>
      </c>
      <c r="B38" s="732" t="s">
        <v>358</v>
      </c>
      <c r="C38" s="732" t="s">
        <v>377</v>
      </c>
      <c r="D38" s="732" t="s">
        <v>384</v>
      </c>
      <c r="E38" s="732" t="s">
        <v>640</v>
      </c>
      <c r="F38" s="508">
        <v>226</v>
      </c>
      <c r="G38" s="508" t="s">
        <v>587</v>
      </c>
      <c r="H38" s="264">
        <f ca="1">рАУП!I57</f>
        <v>811.6</v>
      </c>
      <c r="I38" s="769"/>
    </row>
    <row r="39" spans="1:9" ht="24">
      <c r="A39" s="515" t="s">
        <v>862</v>
      </c>
      <c r="B39" s="732" t="s">
        <v>358</v>
      </c>
      <c r="C39" s="732" t="s">
        <v>377</v>
      </c>
      <c r="D39" s="732" t="s">
        <v>384</v>
      </c>
      <c r="E39" s="732" t="s">
        <v>640</v>
      </c>
      <c r="F39" s="508">
        <v>226</v>
      </c>
      <c r="G39" s="508" t="s">
        <v>588</v>
      </c>
      <c r="H39" s="264">
        <f ca="1">рАУП!I64</f>
        <v>22</v>
      </c>
      <c r="I39" s="574"/>
    </row>
    <row r="40" spans="1:9">
      <c r="A40" s="515" t="s">
        <v>573</v>
      </c>
      <c r="B40" s="732"/>
      <c r="C40" s="732"/>
      <c r="D40" s="732"/>
      <c r="E40" s="733"/>
      <c r="F40" s="508">
        <v>226</v>
      </c>
      <c r="G40" s="508">
        <v>620</v>
      </c>
      <c r="H40" s="264"/>
      <c r="I40" s="57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  <c r="I41" s="574"/>
    </row>
    <row r="42" spans="1:9">
      <c r="A42" s="515" t="s">
        <v>908</v>
      </c>
      <c r="B42" s="732" t="s">
        <v>358</v>
      </c>
      <c r="C42" s="732" t="s">
        <v>377</v>
      </c>
      <c r="D42" s="732" t="s">
        <v>384</v>
      </c>
      <c r="E42" s="732" t="s">
        <v>640</v>
      </c>
      <c r="F42" s="508">
        <v>226</v>
      </c>
      <c r="G42" s="508">
        <v>843</v>
      </c>
      <c r="H42" s="264">
        <f ca="1">рАУП!I68</f>
        <v>10</v>
      </c>
      <c r="I42" s="574"/>
    </row>
    <row r="43" spans="1:9">
      <c r="A43" s="437" t="s">
        <v>596</v>
      </c>
      <c r="B43" s="740" t="s">
        <v>358</v>
      </c>
      <c r="C43" s="740" t="s">
        <v>377</v>
      </c>
      <c r="D43" s="740" t="s">
        <v>384</v>
      </c>
      <c r="E43" s="740" t="s">
        <v>640</v>
      </c>
      <c r="F43" s="509">
        <v>226</v>
      </c>
      <c r="G43" s="509">
        <v>845</v>
      </c>
      <c r="H43" s="735">
        <f ca="1">рАУП!I72</f>
        <v>6</v>
      </c>
      <c r="I43" s="574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  <c r="I44" s="574"/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  <c r="I45" s="574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  <c r="I46" s="574"/>
    </row>
    <row r="47" spans="1:9">
      <c r="A47" s="514" t="s">
        <v>864</v>
      </c>
      <c r="B47" s="734"/>
      <c r="C47" s="734"/>
      <c r="D47" s="734"/>
      <c r="E47" s="734"/>
      <c r="F47" s="507">
        <v>251</v>
      </c>
      <c r="G47" s="507"/>
      <c r="H47" s="528"/>
      <c r="I47" s="574"/>
    </row>
    <row r="48" spans="1:9">
      <c r="A48" s="513" t="s">
        <v>865</v>
      </c>
      <c r="B48" s="737"/>
      <c r="C48" s="737"/>
      <c r="D48" s="737"/>
      <c r="E48" s="731"/>
      <c r="F48" s="506" t="s">
        <v>591</v>
      </c>
      <c r="G48" s="506"/>
      <c r="H48" s="738">
        <f>H49+H51</f>
        <v>0</v>
      </c>
      <c r="I48" s="574"/>
    </row>
    <row r="49" spans="1:9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  <c r="I49" s="574"/>
    </row>
    <row r="50" spans="1:9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  <c r="I50" s="574"/>
    </row>
    <row r="51" spans="1:9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  <c r="I51" s="574"/>
    </row>
    <row r="52" spans="1:9">
      <c r="A52" s="513" t="s">
        <v>594</v>
      </c>
      <c r="B52" s="737" t="s">
        <v>358</v>
      </c>
      <c r="C52" s="737" t="s">
        <v>377</v>
      </c>
      <c r="D52" s="737" t="s">
        <v>384</v>
      </c>
      <c r="E52" s="737" t="s">
        <v>570</v>
      </c>
      <c r="F52" s="506" t="s">
        <v>595</v>
      </c>
      <c r="G52" s="506"/>
      <c r="H52" s="738">
        <f>SUM(H53:H58)</f>
        <v>165</v>
      </c>
      <c r="I52" s="574"/>
    </row>
    <row r="53" spans="1:9">
      <c r="A53" s="516" t="s">
        <v>604</v>
      </c>
      <c r="B53" s="529" t="s">
        <v>358</v>
      </c>
      <c r="C53" s="529" t="s">
        <v>377</v>
      </c>
      <c r="D53" s="529" t="s">
        <v>384</v>
      </c>
      <c r="E53" s="529" t="s">
        <v>709</v>
      </c>
      <c r="F53" s="510">
        <v>291</v>
      </c>
      <c r="G53" s="510"/>
      <c r="H53" s="528">
        <f ca="1">рАУП!I100</f>
        <v>165</v>
      </c>
      <c r="I53" s="574"/>
    </row>
    <row r="54" spans="1:9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  <c r="I54" s="574"/>
    </row>
    <row r="55" spans="1:9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  <c r="I55" s="574"/>
    </row>
    <row r="56" spans="1:9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9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  <c r="I57" s="574"/>
    </row>
    <row r="58" spans="1:9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  <c r="I58" s="574"/>
    </row>
    <row r="59" spans="1:9">
      <c r="A59" s="513" t="s">
        <v>868</v>
      </c>
      <c r="B59" s="737" t="s">
        <v>358</v>
      </c>
      <c r="C59" s="737" t="s">
        <v>377</v>
      </c>
      <c r="D59" s="737" t="s">
        <v>384</v>
      </c>
      <c r="E59" s="737"/>
      <c r="F59" s="506" t="s">
        <v>436</v>
      </c>
      <c r="G59" s="506"/>
      <c r="H59" s="738">
        <f>H60+H62+H63+H64</f>
        <v>209</v>
      </c>
      <c r="I59" s="574"/>
    </row>
    <row r="60" spans="1:9">
      <c r="A60" s="514" t="s">
        <v>597</v>
      </c>
      <c r="B60" s="529" t="s">
        <v>358</v>
      </c>
      <c r="C60" s="529" t="s">
        <v>377</v>
      </c>
      <c r="D60" s="529" t="s">
        <v>384</v>
      </c>
      <c r="E60" s="529" t="s">
        <v>640</v>
      </c>
      <c r="F60" s="511" t="s">
        <v>598</v>
      </c>
      <c r="G60" s="511"/>
      <c r="H60" s="528">
        <f>H61</f>
        <v>152.4</v>
      </c>
      <c r="I60" s="574"/>
    </row>
    <row r="61" spans="1:9">
      <c r="A61" s="515" t="s">
        <v>599</v>
      </c>
      <c r="B61" s="732" t="s">
        <v>358</v>
      </c>
      <c r="C61" s="732" t="s">
        <v>377</v>
      </c>
      <c r="D61" s="732" t="s">
        <v>384</v>
      </c>
      <c r="E61" s="732" t="s">
        <v>640</v>
      </c>
      <c r="F61" s="508">
        <v>310</v>
      </c>
      <c r="G61" s="508" t="s">
        <v>600</v>
      </c>
      <c r="H61" s="264">
        <f ca="1">рАУП!H82</f>
        <v>152.4</v>
      </c>
      <c r="I61" s="574"/>
    </row>
    <row r="62" spans="1:9">
      <c r="A62" s="517" t="s">
        <v>869</v>
      </c>
      <c r="B62" s="728" t="s">
        <v>358</v>
      </c>
      <c r="C62" s="728" t="s">
        <v>377</v>
      </c>
      <c r="D62" s="728" t="s">
        <v>384</v>
      </c>
      <c r="E62" s="728" t="s">
        <v>640</v>
      </c>
      <c r="F62" s="511">
        <v>343</v>
      </c>
      <c r="G62" s="511"/>
      <c r="H62" s="730">
        <f ca="1">рАУП!H89</f>
        <v>6.6</v>
      </c>
      <c r="I62" s="574"/>
    </row>
    <row r="63" spans="1:9" ht="24">
      <c r="A63" s="517" t="s">
        <v>870</v>
      </c>
      <c r="B63" s="728" t="s">
        <v>358</v>
      </c>
      <c r="C63" s="728" t="s">
        <v>377</v>
      </c>
      <c r="D63" s="728" t="s">
        <v>384</v>
      </c>
      <c r="E63" s="728" t="s">
        <v>640</v>
      </c>
      <c r="F63" s="511">
        <v>346</v>
      </c>
      <c r="G63" s="511"/>
      <c r="H63" s="730">
        <f ca="1">рАУП!H95</f>
        <v>50</v>
      </c>
      <c r="I63" s="574"/>
    </row>
    <row r="64" spans="1:9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  <c r="I64" s="574"/>
    </row>
    <row r="65" spans="1:9">
      <c r="A65" s="517" t="s">
        <v>710</v>
      </c>
      <c r="B65" s="728" t="s">
        <v>358</v>
      </c>
      <c r="C65" s="728" t="s">
        <v>377</v>
      </c>
      <c r="D65" s="728" t="s">
        <v>384</v>
      </c>
      <c r="E65" s="728" t="s">
        <v>375</v>
      </c>
      <c r="F65" s="511"/>
      <c r="G65" s="511"/>
      <c r="H65" s="730">
        <f>H25+H27+H33+H34+H37+H38+H39+H42+H43+H61+H62+H63</f>
        <v>1594.2</v>
      </c>
      <c r="I65" s="574"/>
    </row>
    <row r="66" spans="1:9">
      <c r="A66" s="517" t="s">
        <v>710</v>
      </c>
      <c r="B66" s="728" t="s">
        <v>358</v>
      </c>
      <c r="C66" s="728" t="s">
        <v>377</v>
      </c>
      <c r="D66" s="728" t="s">
        <v>384</v>
      </c>
      <c r="E66" s="728" t="s">
        <v>386</v>
      </c>
      <c r="F66" s="511"/>
      <c r="G66" s="511"/>
      <c r="H66" s="730">
        <f>H53</f>
        <v>165</v>
      </c>
      <c r="I66" s="574"/>
    </row>
    <row r="67" spans="1:9">
      <c r="A67" s="519" t="s">
        <v>602</v>
      </c>
      <c r="B67" s="728" t="s">
        <v>358</v>
      </c>
      <c r="C67" s="728" t="s">
        <v>377</v>
      </c>
      <c r="D67" s="728" t="s">
        <v>708</v>
      </c>
      <c r="E67" s="728" t="s">
        <v>570</v>
      </c>
      <c r="F67" s="518"/>
      <c r="G67" s="518"/>
      <c r="H67" s="730">
        <f>H59+H16</f>
        <v>1759.2</v>
      </c>
      <c r="I67" s="574"/>
    </row>
    <row r="68" spans="1:9">
      <c r="A68" s="742"/>
      <c r="B68" s="743"/>
      <c r="C68" s="743"/>
      <c r="D68" s="743"/>
      <c r="E68" s="743"/>
      <c r="F68" s="743"/>
      <c r="G68" s="743"/>
      <c r="H68" s="744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</sheetPr>
  <dimension ref="A1:L109"/>
  <sheetViews>
    <sheetView topLeftCell="A16" workbookViewId="0">
      <selection activeCell="L21" sqref="L21"/>
    </sheetView>
  </sheetViews>
  <sheetFormatPr defaultColWidth="10.140625" defaultRowHeight="15"/>
  <cols>
    <col min="1" max="1" width="4.28515625" style="189" customWidth="1"/>
    <col min="2" max="2" width="31.42578125" style="189" customWidth="1"/>
    <col min="3" max="4" width="6.7109375" style="189" customWidth="1"/>
    <col min="5" max="5" width="10.5703125" style="189" customWidth="1"/>
    <col min="6" max="6" width="12.7109375" style="189" customWidth="1"/>
    <col min="7" max="7" width="11.7109375" style="189" customWidth="1"/>
    <col min="8" max="8" width="10.5703125" style="189" customWidth="1"/>
    <col min="9" max="9" width="10.140625" style="189" bestFit="1" customWidth="1"/>
    <col min="10" max="10" width="8" style="189" customWidth="1"/>
    <col min="11" max="11" width="12.85546875" style="189" bestFit="1" customWidth="1"/>
    <col min="12" max="245" width="9.140625" style="189" customWidth="1"/>
    <col min="246" max="246" width="4.28515625" style="189" customWidth="1"/>
    <col min="247" max="247" width="10.5703125" style="189" customWidth="1"/>
    <col min="248" max="248" width="12" style="189" customWidth="1"/>
    <col min="249" max="249" width="8.7109375" style="189" customWidth="1"/>
    <col min="250" max="250" width="7.28515625" style="189" customWidth="1"/>
    <col min="251" max="251" width="14.42578125" style="189" customWidth="1"/>
    <col min="252" max="252" width="7.140625" style="189" customWidth="1"/>
    <col min="253" max="253" width="7" style="189" customWidth="1"/>
    <col min="254" max="254" width="11.7109375" style="189" customWidth="1"/>
    <col min="255" max="255" width="10.140625" style="189" customWidth="1"/>
    <col min="256" max="256" width="10.140625" style="189" bestFit="1"/>
    <col min="257" max="16384" width="10.140625" style="189"/>
  </cols>
  <sheetData>
    <row r="1" spans="1:11" ht="31.5" customHeight="1">
      <c r="A1" s="988" t="s">
        <v>376</v>
      </c>
      <c r="B1" s="988"/>
      <c r="C1" s="988"/>
      <c r="D1" s="988"/>
      <c r="E1" s="988"/>
      <c r="F1" s="988"/>
      <c r="G1" s="988"/>
      <c r="H1" s="988"/>
      <c r="I1" s="988"/>
      <c r="K1" s="190"/>
    </row>
    <row r="2" spans="1:11">
      <c r="A2" s="148"/>
      <c r="B2" s="148"/>
      <c r="C2" s="148"/>
      <c r="D2" s="148"/>
      <c r="E2" s="148"/>
      <c r="F2" s="148"/>
      <c r="G2" s="148"/>
      <c r="H2" s="148"/>
      <c r="I2" s="688" t="s">
        <v>636</v>
      </c>
      <c r="J2" s="679">
        <v>1.0369999999999999</v>
      </c>
      <c r="K2" s="190"/>
    </row>
    <row r="3" spans="1:11" ht="15.75">
      <c r="A3" s="1038" t="s">
        <v>609</v>
      </c>
      <c r="B3" s="1038"/>
      <c r="C3" s="1038"/>
      <c r="D3" s="1038"/>
      <c r="E3" s="1038"/>
      <c r="F3" s="1038"/>
      <c r="G3" s="1038"/>
      <c r="H3" s="1038"/>
      <c r="I3" s="1038"/>
      <c r="K3" s="190"/>
    </row>
    <row r="4" spans="1:11" ht="15" customHeight="1">
      <c r="A4" s="1004" t="str">
        <f ca="1">'СВОД смет'!A7:H7</f>
        <v>на 2021 год</v>
      </c>
      <c r="B4" s="1004"/>
      <c r="C4" s="1004"/>
      <c r="D4" s="1004"/>
      <c r="E4" s="1004"/>
      <c r="F4" s="1004"/>
      <c r="G4" s="1004"/>
      <c r="H4" s="1004"/>
      <c r="I4" s="1004"/>
      <c r="K4" s="190"/>
    </row>
    <row r="5" spans="1:11" ht="15" customHeight="1">
      <c r="A5" s="153"/>
      <c r="B5" s="153"/>
      <c r="C5" s="153"/>
      <c r="D5" s="153"/>
      <c r="E5" s="153"/>
      <c r="F5" s="153"/>
      <c r="G5" s="153"/>
      <c r="H5" s="153"/>
      <c r="K5" s="190"/>
    </row>
    <row r="6" spans="1:11">
      <c r="A6" s="994" t="s">
        <v>623</v>
      </c>
      <c r="B6" s="994"/>
      <c r="C6" s="994"/>
      <c r="D6" s="994"/>
      <c r="E6" s="994"/>
      <c r="F6" s="994"/>
      <c r="G6" s="994"/>
      <c r="H6" s="994"/>
      <c r="I6" s="994"/>
    </row>
    <row r="7" spans="1:11" ht="24" customHeight="1">
      <c r="A7" s="198" t="s">
        <v>483</v>
      </c>
      <c r="B7" s="157" t="s">
        <v>715</v>
      </c>
      <c r="C7" s="199" t="s">
        <v>568</v>
      </c>
      <c r="D7" s="198" t="s">
        <v>614</v>
      </c>
      <c r="E7" s="198" t="s">
        <v>26</v>
      </c>
      <c r="F7" s="198" t="s">
        <v>27</v>
      </c>
      <c r="G7" s="198" t="s">
        <v>653</v>
      </c>
      <c r="H7" s="238" t="s">
        <v>690</v>
      </c>
      <c r="I7" s="198" t="s">
        <v>626</v>
      </c>
      <c r="J7" s="235"/>
    </row>
    <row r="8" spans="1:11">
      <c r="A8" s="160">
        <v>1</v>
      </c>
      <c r="B8" s="160">
        <v>2</v>
      </c>
      <c r="C8" s="160">
        <v>3</v>
      </c>
      <c r="D8" s="160">
        <v>4</v>
      </c>
      <c r="E8" s="160">
        <v>5</v>
      </c>
      <c r="F8" s="160">
        <v>6</v>
      </c>
      <c r="G8" s="205">
        <v>7</v>
      </c>
      <c r="H8" s="166">
        <v>8</v>
      </c>
      <c r="I8" s="230">
        <v>9</v>
      </c>
      <c r="J8" s="236"/>
    </row>
    <row r="9" spans="1:11" ht="24">
      <c r="A9" s="160">
        <v>1</v>
      </c>
      <c r="B9" s="437" t="s">
        <v>21</v>
      </c>
      <c r="C9" s="157">
        <v>221</v>
      </c>
      <c r="D9" s="154"/>
      <c r="E9" s="240">
        <v>12</v>
      </c>
      <c r="F9" s="646">
        <v>2880</v>
      </c>
      <c r="G9" s="678">
        <v>1</v>
      </c>
      <c r="H9" s="239">
        <f t="shared" ref="H9:H14" si="0">E9*F9*G9</f>
        <v>34560</v>
      </c>
      <c r="I9" s="231">
        <f t="shared" ref="I9:I14" si="1">ROUND(H9/1000,1)</f>
        <v>34.6</v>
      </c>
      <c r="J9" s="237"/>
      <c r="K9" s="656"/>
    </row>
    <row r="10" spans="1:11" ht="24">
      <c r="A10" s="160">
        <v>2</v>
      </c>
      <c r="B10" s="437" t="s">
        <v>22</v>
      </c>
      <c r="C10" s="154">
        <v>221</v>
      </c>
      <c r="D10" s="154"/>
      <c r="E10" s="642">
        <v>12</v>
      </c>
      <c r="F10" s="635">
        <v>500</v>
      </c>
      <c r="G10" s="678">
        <v>1</v>
      </c>
      <c r="H10" s="239">
        <f t="shared" si="0"/>
        <v>6000</v>
      </c>
      <c r="I10" s="231">
        <f t="shared" si="1"/>
        <v>6</v>
      </c>
      <c r="J10" s="237"/>
    </row>
    <row r="11" spans="1:11" ht="24">
      <c r="A11" s="160">
        <v>3</v>
      </c>
      <c r="B11" s="437" t="s">
        <v>23</v>
      </c>
      <c r="C11" s="154">
        <v>221</v>
      </c>
      <c r="D11" s="154"/>
      <c r="E11" s="642">
        <v>12</v>
      </c>
      <c r="F11" s="635">
        <v>400</v>
      </c>
      <c r="G11" s="678">
        <v>1</v>
      </c>
      <c r="H11" s="239">
        <f t="shared" si="0"/>
        <v>4800</v>
      </c>
      <c r="I11" s="231">
        <f t="shared" si="1"/>
        <v>4.8</v>
      </c>
      <c r="J11" s="606"/>
    </row>
    <row r="12" spans="1:11" ht="24">
      <c r="A12" s="160">
        <v>4</v>
      </c>
      <c r="B12" s="437" t="s">
        <v>24</v>
      </c>
      <c r="C12" s="157">
        <v>221</v>
      </c>
      <c r="D12" s="154"/>
      <c r="E12" s="240">
        <v>1</v>
      </c>
      <c r="F12" s="635">
        <v>13000</v>
      </c>
      <c r="G12" s="678">
        <v>1</v>
      </c>
      <c r="H12" s="853">
        <f t="shared" si="0"/>
        <v>13000</v>
      </c>
      <c r="I12" s="231">
        <f t="shared" si="1"/>
        <v>13</v>
      </c>
      <c r="J12" s="833"/>
    </row>
    <row r="13" spans="1:11" ht="24" customHeight="1">
      <c r="A13" s="160">
        <v>5</v>
      </c>
      <c r="B13" s="437" t="s">
        <v>25</v>
      </c>
      <c r="C13" s="157">
        <v>221</v>
      </c>
      <c r="D13" s="154"/>
      <c r="E13" s="240">
        <v>12</v>
      </c>
      <c r="F13" s="635">
        <v>25000</v>
      </c>
      <c r="G13" s="678">
        <v>1</v>
      </c>
      <c r="H13" s="239">
        <f t="shared" si="0"/>
        <v>300000</v>
      </c>
      <c r="I13" s="231">
        <f t="shared" si="1"/>
        <v>300</v>
      </c>
      <c r="J13" s="461"/>
    </row>
    <row r="14" spans="1:11" ht="24">
      <c r="A14" s="160">
        <v>6</v>
      </c>
      <c r="B14" s="437" t="s">
        <v>654</v>
      </c>
      <c r="C14" s="157">
        <v>221</v>
      </c>
      <c r="D14" s="154"/>
      <c r="E14" s="240">
        <v>4</v>
      </c>
      <c r="F14" s="635">
        <v>3900</v>
      </c>
      <c r="G14" s="678">
        <v>1</v>
      </c>
      <c r="H14" s="239">
        <f t="shared" si="0"/>
        <v>15600</v>
      </c>
      <c r="I14" s="231">
        <f t="shared" si="1"/>
        <v>15.6</v>
      </c>
      <c r="J14" s="461"/>
    </row>
    <row r="15" spans="1:11">
      <c r="A15" s="1083" t="s">
        <v>628</v>
      </c>
      <c r="B15" s="1084"/>
      <c r="C15" s="1084"/>
      <c r="D15" s="1084"/>
      <c r="E15" s="1084"/>
      <c r="F15" s="1084"/>
      <c r="G15" s="1084"/>
      <c r="H15" s="682">
        <f>SUM(H9:H14)</f>
        <v>373960</v>
      </c>
      <c r="I15" s="438">
        <f>SUM(I9:I14)</f>
        <v>374</v>
      </c>
      <c r="J15" s="841"/>
    </row>
    <row r="17" spans="1:12">
      <c r="A17" s="663" t="s">
        <v>655</v>
      </c>
      <c r="B17" s="663"/>
      <c r="C17" s="663"/>
      <c r="D17" s="663"/>
      <c r="E17" s="663"/>
      <c r="F17" s="663"/>
      <c r="G17" s="663"/>
      <c r="H17" s="663"/>
    </row>
    <row r="18" spans="1:12" ht="28.5" customHeight="1">
      <c r="A18" s="198" t="s">
        <v>483</v>
      </c>
      <c r="B18" s="157" t="s">
        <v>715</v>
      </c>
      <c r="C18" s="199" t="s">
        <v>568</v>
      </c>
      <c r="D18" s="198" t="s">
        <v>614</v>
      </c>
      <c r="E18" s="198" t="s">
        <v>656</v>
      </c>
      <c r="F18" s="198" t="s">
        <v>657</v>
      </c>
      <c r="G18" s="238" t="s">
        <v>690</v>
      </c>
      <c r="H18" s="198" t="s">
        <v>626</v>
      </c>
    </row>
    <row r="19" spans="1:12">
      <c r="A19" s="208">
        <v>1</v>
      </c>
      <c r="B19" s="208">
        <v>2</v>
      </c>
      <c r="C19" s="208">
        <v>3</v>
      </c>
      <c r="D19" s="208">
        <v>4</v>
      </c>
      <c r="E19" s="208">
        <v>5</v>
      </c>
      <c r="F19" s="208">
        <v>6</v>
      </c>
      <c r="G19" s="208">
        <v>7</v>
      </c>
      <c r="H19" s="208">
        <v>8</v>
      </c>
    </row>
    <row r="20" spans="1:12" ht="22.5" customHeight="1">
      <c r="A20" s="160">
        <v>1</v>
      </c>
      <c r="B20" s="437" t="s">
        <v>658</v>
      </c>
      <c r="C20" s="157">
        <v>222</v>
      </c>
      <c r="D20" s="154">
        <v>500</v>
      </c>
      <c r="E20" s="231">
        <v>100</v>
      </c>
      <c r="F20" s="199">
        <v>100</v>
      </c>
      <c r="G20" s="409">
        <f>ROUND(E20*F20,1)</f>
        <v>10000</v>
      </c>
      <c r="H20" s="203">
        <f>ROUND(E20*F20/1000,1)</f>
        <v>10</v>
      </c>
      <c r="I20" s="474"/>
    </row>
    <row r="21" spans="1:12">
      <c r="A21" s="1083" t="s">
        <v>659</v>
      </c>
      <c r="B21" s="1084"/>
      <c r="C21" s="1084"/>
      <c r="D21" s="1084"/>
      <c r="E21" s="1084"/>
      <c r="F21" s="1085"/>
      <c r="G21" s="683">
        <f>SUM(G20:G20)</f>
        <v>10000</v>
      </c>
      <c r="H21" s="680">
        <f>SUM(H20:H20)</f>
        <v>10</v>
      </c>
      <c r="J21" s="216"/>
    </row>
    <row r="22" spans="1:12">
      <c r="J22" s="204"/>
    </row>
    <row r="23" spans="1:12">
      <c r="A23" s="994" t="s">
        <v>665</v>
      </c>
      <c r="B23" s="994"/>
      <c r="C23" s="994"/>
      <c r="D23" s="994"/>
      <c r="E23" s="994"/>
      <c r="F23" s="994"/>
      <c r="G23" s="994"/>
      <c r="H23" s="994"/>
      <c r="I23" s="994"/>
    </row>
    <row r="24" spans="1:12" ht="24" customHeight="1">
      <c r="A24" s="198" t="s">
        <v>483</v>
      </c>
      <c r="B24" s="157" t="s">
        <v>715</v>
      </c>
      <c r="C24" s="199" t="s">
        <v>568</v>
      </c>
      <c r="D24" s="198" t="s">
        <v>614</v>
      </c>
      <c r="E24" s="198" t="s">
        <v>635</v>
      </c>
      <c r="F24" s="198" t="s">
        <v>666</v>
      </c>
      <c r="G24" s="198" t="s">
        <v>653</v>
      </c>
      <c r="H24" s="238" t="s">
        <v>690</v>
      </c>
      <c r="I24" s="198" t="s">
        <v>626</v>
      </c>
      <c r="J24" s="213"/>
    </row>
    <row r="25" spans="1:12">
      <c r="A25" s="160">
        <v>1</v>
      </c>
      <c r="B25" s="160">
        <v>2</v>
      </c>
      <c r="C25" s="160">
        <v>3</v>
      </c>
      <c r="D25" s="160">
        <v>4</v>
      </c>
      <c r="E25" s="160">
        <v>5</v>
      </c>
      <c r="F25" s="160">
        <v>6</v>
      </c>
      <c r="G25" s="160">
        <v>7</v>
      </c>
      <c r="H25" s="166">
        <v>8</v>
      </c>
      <c r="I25" s="160">
        <v>9</v>
      </c>
    </row>
    <row r="26" spans="1:12" ht="24">
      <c r="A26" s="160">
        <v>1</v>
      </c>
      <c r="B26" s="629" t="s">
        <v>693</v>
      </c>
      <c r="C26" s="157">
        <v>225</v>
      </c>
      <c r="D26" s="218" t="s">
        <v>582</v>
      </c>
      <c r="E26" s="642">
        <v>2</v>
      </c>
      <c r="F26" s="635">
        <v>18900</v>
      </c>
      <c r="G26" s="689">
        <v>1</v>
      </c>
      <c r="H26" s="249">
        <f>E26*F26*G26</f>
        <v>37800</v>
      </c>
      <c r="I26" s="231">
        <f>ROUND(H26/1000,1)</f>
        <v>37.799999999999997</v>
      </c>
      <c r="J26" s="461"/>
    </row>
    <row r="27" spans="1:12">
      <c r="A27" s="1077" t="s">
        <v>667</v>
      </c>
      <c r="B27" s="1078"/>
      <c r="C27" s="1078"/>
      <c r="D27" s="1078"/>
      <c r="E27" s="1078"/>
      <c r="F27" s="1078"/>
      <c r="G27" s="1078"/>
      <c r="H27" s="694">
        <f>H26</f>
        <v>37800</v>
      </c>
      <c r="I27" s="693">
        <f>I26</f>
        <v>37.799999999999997</v>
      </c>
      <c r="J27" s="532"/>
    </row>
    <row r="28" spans="1:12" ht="38.25" customHeight="1">
      <c r="A28" s="198" t="s">
        <v>483</v>
      </c>
      <c r="B28" s="157" t="s">
        <v>715</v>
      </c>
      <c r="C28" s="199" t="s">
        <v>568</v>
      </c>
      <c r="D28" s="198" t="s">
        <v>614</v>
      </c>
      <c r="E28" s="198" t="s">
        <v>635</v>
      </c>
      <c r="F28" s="198" t="s">
        <v>28</v>
      </c>
      <c r="G28" s="198" t="s">
        <v>653</v>
      </c>
      <c r="H28" s="238" t="s">
        <v>690</v>
      </c>
      <c r="I28" s="198" t="s">
        <v>626</v>
      </c>
      <c r="J28" s="200"/>
    </row>
    <row r="29" spans="1:12">
      <c r="A29" s="219">
        <v>1</v>
      </c>
      <c r="B29" s="220">
        <v>2</v>
      </c>
      <c r="C29" s="220">
        <v>3</v>
      </c>
      <c r="D29" s="219">
        <v>4</v>
      </c>
      <c r="E29" s="220">
        <v>5</v>
      </c>
      <c r="F29" s="219">
        <v>6</v>
      </c>
      <c r="G29" s="219">
        <v>7</v>
      </c>
      <c r="H29" s="166">
        <v>8</v>
      </c>
      <c r="I29" s="219">
        <v>8</v>
      </c>
      <c r="J29" s="204"/>
    </row>
    <row r="30" spans="1:12" ht="25.5">
      <c r="A30" s="160">
        <v>1</v>
      </c>
      <c r="B30" s="437" t="s">
        <v>20</v>
      </c>
      <c r="C30" s="157">
        <v>225</v>
      </c>
      <c r="D30" s="154">
        <v>770</v>
      </c>
      <c r="E30" s="240">
        <v>6</v>
      </c>
      <c r="F30" s="646">
        <v>800</v>
      </c>
      <c r="G30" s="689">
        <v>1</v>
      </c>
      <c r="H30" s="249">
        <f>E30*F30*G30*1.271</f>
        <v>6100.7999999999993</v>
      </c>
      <c r="I30" s="231">
        <f>ROUND(H30/1000,1)</f>
        <v>6.1</v>
      </c>
      <c r="K30" s="221" t="s">
        <v>30</v>
      </c>
      <c r="L30" s="221">
        <v>1.2709999999999999</v>
      </c>
    </row>
    <row r="31" spans="1:12" ht="24">
      <c r="A31" s="160">
        <v>2</v>
      </c>
      <c r="B31" s="629" t="s">
        <v>669</v>
      </c>
      <c r="C31" s="198">
        <v>225</v>
      </c>
      <c r="D31" s="199">
        <v>770</v>
      </c>
      <c r="E31" s="231">
        <v>7</v>
      </c>
      <c r="F31" s="635">
        <v>6500</v>
      </c>
      <c r="G31" s="689">
        <v>1</v>
      </c>
      <c r="H31" s="462">
        <f>E31*F31*G31</f>
        <v>45500</v>
      </c>
      <c r="I31" s="231">
        <f>ROUND(H31/1000,1)</f>
        <v>45.5</v>
      </c>
    </row>
    <row r="32" spans="1:12" ht="24">
      <c r="A32" s="160">
        <v>3</v>
      </c>
      <c r="B32" s="629" t="s">
        <v>810</v>
      </c>
      <c r="C32" s="198">
        <v>225</v>
      </c>
      <c r="D32" s="199">
        <v>770</v>
      </c>
      <c r="E32" s="231">
        <v>0</v>
      </c>
      <c r="F32" s="635">
        <f>10000+5000</f>
        <v>15000</v>
      </c>
      <c r="G32" s="689">
        <v>1</v>
      </c>
      <c r="H32" s="462">
        <f>E32*F32*G32</f>
        <v>0</v>
      </c>
      <c r="I32" s="231">
        <f>ROUND(H32/1000,1)</f>
        <v>0</v>
      </c>
      <c r="J32" s="215"/>
      <c r="K32" s="222"/>
    </row>
    <row r="33" spans="1:12">
      <c r="A33" s="160">
        <v>4</v>
      </c>
      <c r="B33" s="629" t="s">
        <v>116</v>
      </c>
      <c r="C33" s="198">
        <v>225</v>
      </c>
      <c r="D33" s="199">
        <v>770</v>
      </c>
      <c r="E33" s="231">
        <v>2.25</v>
      </c>
      <c r="F33" s="635">
        <f>(4569.97*120%+26587.47*120%)/2</f>
        <v>18694.464</v>
      </c>
      <c r="G33" s="828">
        <v>1</v>
      </c>
      <c r="H33" s="462">
        <f>E33*F33*G33</f>
        <v>42062.544000000002</v>
      </c>
      <c r="I33" s="231">
        <f>ROUND(H33/1000,1)</f>
        <v>42.1</v>
      </c>
      <c r="J33" s="721"/>
      <c r="K33" s="721" t="s">
        <v>153</v>
      </c>
    </row>
    <row r="34" spans="1:12">
      <c r="A34" s="1080" t="s">
        <v>670</v>
      </c>
      <c r="B34" s="1080"/>
      <c r="C34" s="1080"/>
      <c r="D34" s="1080"/>
      <c r="E34" s="1080"/>
      <c r="F34" s="1080"/>
      <c r="G34" s="1081"/>
      <c r="H34" s="692">
        <f>SUM(H30:H33)</f>
        <v>93663.344000000012</v>
      </c>
      <c r="I34" s="693">
        <f>SUM(I30:I33)</f>
        <v>93.7</v>
      </c>
      <c r="J34" s="224"/>
    </row>
    <row r="35" spans="1:12">
      <c r="A35" s="1030" t="s">
        <v>671</v>
      </c>
      <c r="B35" s="1030"/>
      <c r="C35" s="1030"/>
      <c r="D35" s="1030"/>
      <c r="E35" s="1030"/>
      <c r="F35" s="1030"/>
      <c r="G35" s="1030"/>
      <c r="H35" s="279">
        <f>H34+H27</f>
        <v>131463.34400000001</v>
      </c>
      <c r="I35" s="278">
        <f>I34+I27</f>
        <v>131.5</v>
      </c>
      <c r="J35" s="211"/>
    </row>
    <row r="37" spans="1:12">
      <c r="A37" s="1058" t="s">
        <v>672</v>
      </c>
      <c r="B37" s="1058"/>
      <c r="C37" s="1058"/>
      <c r="D37" s="1058"/>
      <c r="E37" s="1058"/>
      <c r="F37" s="1058"/>
      <c r="G37" s="1058"/>
      <c r="H37" s="1058"/>
      <c r="I37" s="1058"/>
    </row>
    <row r="38" spans="1:12" ht="24" customHeight="1">
      <c r="A38" s="198" t="s">
        <v>483</v>
      </c>
      <c r="B38" s="157" t="s">
        <v>715</v>
      </c>
      <c r="C38" s="199" t="s">
        <v>568</v>
      </c>
      <c r="D38" s="198" t="s">
        <v>614</v>
      </c>
      <c r="E38" s="198" t="s">
        <v>668</v>
      </c>
      <c r="F38" s="198" t="s">
        <v>673</v>
      </c>
      <c r="G38" s="198" t="s">
        <v>653</v>
      </c>
      <c r="H38" s="238" t="s">
        <v>690</v>
      </c>
      <c r="I38" s="223" t="s">
        <v>626</v>
      </c>
    </row>
    <row r="39" spans="1:12">
      <c r="A39" s="208">
        <v>1</v>
      </c>
      <c r="B39" s="643">
        <v>2</v>
      </c>
      <c r="C39" s="205">
        <v>3</v>
      </c>
      <c r="D39" s="208">
        <v>4</v>
      </c>
      <c r="E39" s="208">
        <v>5</v>
      </c>
      <c r="F39" s="643">
        <v>6</v>
      </c>
      <c r="G39" s="208">
        <v>7</v>
      </c>
      <c r="H39" s="234">
        <v>8</v>
      </c>
      <c r="I39" s="220">
        <v>9</v>
      </c>
    </row>
    <row r="40" spans="1:12">
      <c r="A40" s="166">
        <v>1</v>
      </c>
      <c r="B40" s="437" t="s">
        <v>87</v>
      </c>
      <c r="C40" s="157">
        <v>226</v>
      </c>
      <c r="D40" s="218" t="s">
        <v>585</v>
      </c>
      <c r="E40" s="681">
        <v>1</v>
      </c>
      <c r="F40" s="638">
        <v>20064</v>
      </c>
      <c r="G40" s="233">
        <v>1</v>
      </c>
      <c r="H40" s="249">
        <f>F40*E40*G40</f>
        <v>20064</v>
      </c>
      <c r="I40" s="250">
        <f>ROUND(H40/1000,1)</f>
        <v>20.100000000000001</v>
      </c>
      <c r="J40" s="461"/>
    </row>
    <row r="41" spans="1:12" ht="13.5" customHeight="1">
      <c r="A41" s="1082" t="s">
        <v>674</v>
      </c>
      <c r="B41" s="1082"/>
      <c r="C41" s="1082"/>
      <c r="D41" s="1082"/>
      <c r="E41" s="1082"/>
      <c r="F41" s="1082"/>
      <c r="G41" s="1082"/>
      <c r="H41" s="686">
        <f>H40</f>
        <v>20064</v>
      </c>
      <c r="I41" s="687">
        <f>SUM(I40:I40)</f>
        <v>20.100000000000001</v>
      </c>
      <c r="J41" s="531"/>
    </row>
    <row r="42" spans="1:12" ht="24" customHeight="1">
      <c r="A42" s="198" t="s">
        <v>483</v>
      </c>
      <c r="B42" s="157" t="s">
        <v>715</v>
      </c>
      <c r="C42" s="199" t="s">
        <v>568</v>
      </c>
      <c r="D42" s="198" t="s">
        <v>614</v>
      </c>
      <c r="E42" s="198" t="s">
        <v>668</v>
      </c>
      <c r="F42" s="198" t="s">
        <v>675</v>
      </c>
      <c r="G42" s="198" t="s">
        <v>653</v>
      </c>
      <c r="H42" s="238" t="s">
        <v>690</v>
      </c>
      <c r="I42" s="198" t="s">
        <v>626</v>
      </c>
    </row>
    <row r="43" spans="1:12">
      <c r="A43" s="208">
        <v>1</v>
      </c>
      <c r="B43" s="643">
        <v>2</v>
      </c>
      <c r="C43" s="205">
        <v>3</v>
      </c>
      <c r="D43" s="208">
        <v>4</v>
      </c>
      <c r="E43" s="208">
        <v>5</v>
      </c>
      <c r="F43" s="643">
        <v>6</v>
      </c>
      <c r="G43" s="208">
        <v>7</v>
      </c>
      <c r="H43" s="234">
        <v>8</v>
      </c>
      <c r="I43" s="220">
        <v>9</v>
      </c>
    </row>
    <row r="44" spans="1:12" ht="23.25" customHeight="1">
      <c r="A44" s="166">
        <v>1</v>
      </c>
      <c r="B44" s="629" t="s">
        <v>676</v>
      </c>
      <c r="C44" s="157">
        <v>226</v>
      </c>
      <c r="D44" s="218" t="s">
        <v>587</v>
      </c>
      <c r="E44" s="240">
        <v>0</v>
      </c>
      <c r="F44" s="638">
        <v>10000</v>
      </c>
      <c r="G44" s="690">
        <v>1</v>
      </c>
      <c r="H44" s="249">
        <f>F44*E44*G44</f>
        <v>0</v>
      </c>
      <c r="I44" s="250">
        <f t="shared" ref="I44:I53" si="2">ROUND(H44/1000,1)</f>
        <v>0</v>
      </c>
    </row>
    <row r="45" spans="1:12" ht="24" customHeight="1">
      <c r="A45" s="166">
        <v>2</v>
      </c>
      <c r="B45" s="629" t="s">
        <v>949</v>
      </c>
      <c r="C45" s="157">
        <v>226</v>
      </c>
      <c r="D45" s="218" t="s">
        <v>587</v>
      </c>
      <c r="E45" s="231">
        <v>0</v>
      </c>
      <c r="F45" s="644">
        <v>3000</v>
      </c>
      <c r="G45" s="689">
        <v>1</v>
      </c>
      <c r="H45" s="249">
        <f>F45*E45*G45</f>
        <v>0</v>
      </c>
      <c r="I45" s="250">
        <f>ROUND(H45/1000,1)</f>
        <v>0</v>
      </c>
      <c r="J45" s="786"/>
      <c r="K45" s="787"/>
    </row>
    <row r="46" spans="1:12" ht="23.25" customHeight="1">
      <c r="A46" s="166">
        <v>3</v>
      </c>
      <c r="B46" s="437" t="s">
        <v>847</v>
      </c>
      <c r="C46" s="157">
        <v>226</v>
      </c>
      <c r="D46" s="218" t="s">
        <v>587</v>
      </c>
      <c r="E46" s="681">
        <v>12</v>
      </c>
      <c r="F46" s="638">
        <v>9532.5</v>
      </c>
      <c r="G46" s="678">
        <v>1</v>
      </c>
      <c r="H46" s="249">
        <f>F46*E46*G46</f>
        <v>114390</v>
      </c>
      <c r="I46" s="250">
        <f>ROUND(H46/1000,1)</f>
        <v>114.4</v>
      </c>
      <c r="K46" s="221" t="s">
        <v>30</v>
      </c>
      <c r="L46" s="221">
        <v>1.2709999999999999</v>
      </c>
    </row>
    <row r="47" spans="1:12" ht="24" customHeight="1">
      <c r="A47" s="166">
        <v>4</v>
      </c>
      <c r="B47" s="629" t="s">
        <v>111</v>
      </c>
      <c r="C47" s="198">
        <v>226</v>
      </c>
      <c r="D47" s="408" t="s">
        <v>587</v>
      </c>
      <c r="E47" s="231">
        <v>1</v>
      </c>
      <c r="F47" s="638">
        <f>14700*1.271</f>
        <v>18683.699999999997</v>
      </c>
      <c r="G47" s="690">
        <v>1</v>
      </c>
      <c r="H47" s="260">
        <f t="shared" ref="H47:H56" si="3">F47*E47*G47</f>
        <v>18683.699999999997</v>
      </c>
      <c r="I47" s="207">
        <f t="shared" si="2"/>
        <v>18.7</v>
      </c>
      <c r="J47" s="837"/>
      <c r="K47" s="221" t="s">
        <v>30</v>
      </c>
      <c r="L47" s="221">
        <v>1.2709999999999999</v>
      </c>
    </row>
    <row r="48" spans="1:12">
      <c r="A48" s="166">
        <v>5</v>
      </c>
      <c r="B48" s="437"/>
      <c r="C48" s="157">
        <v>226</v>
      </c>
      <c r="D48" s="218" t="s">
        <v>587</v>
      </c>
      <c r="E48" s="681"/>
      <c r="F48" s="644">
        <v>5500</v>
      </c>
      <c r="G48" s="678">
        <v>1</v>
      </c>
      <c r="H48" s="462">
        <f t="shared" si="3"/>
        <v>0</v>
      </c>
      <c r="I48" s="250">
        <f>ROUND(H48/1000,1)</f>
        <v>0</v>
      </c>
    </row>
    <row r="49" spans="1:10" ht="22.5" customHeight="1">
      <c r="A49" s="166">
        <v>6</v>
      </c>
      <c r="B49" s="437" t="s">
        <v>677</v>
      </c>
      <c r="C49" s="157">
        <v>226</v>
      </c>
      <c r="D49" s="218" t="s">
        <v>587</v>
      </c>
      <c r="E49" s="240">
        <v>4</v>
      </c>
      <c r="F49" s="644">
        <v>15750</v>
      </c>
      <c r="G49" s="690">
        <v>1</v>
      </c>
      <c r="H49" s="462">
        <f t="shared" si="3"/>
        <v>63000</v>
      </c>
      <c r="I49" s="250">
        <f t="shared" si="2"/>
        <v>63</v>
      </c>
    </row>
    <row r="50" spans="1:10" ht="23.25" customHeight="1">
      <c r="A50" s="166">
        <v>7</v>
      </c>
      <c r="B50" s="629" t="s">
        <v>950</v>
      </c>
      <c r="C50" s="198">
        <v>226</v>
      </c>
      <c r="D50" s="408" t="s">
        <v>587</v>
      </c>
      <c r="E50" s="231">
        <v>12</v>
      </c>
      <c r="F50" s="644">
        <v>20980</v>
      </c>
      <c r="G50" s="690">
        <v>1</v>
      </c>
      <c r="H50" s="462">
        <f t="shared" si="3"/>
        <v>251760</v>
      </c>
      <c r="I50" s="207">
        <f t="shared" si="2"/>
        <v>251.8</v>
      </c>
    </row>
    <row r="51" spans="1:10" ht="24">
      <c r="A51" s="166">
        <v>8</v>
      </c>
      <c r="B51" s="437" t="s">
        <v>808</v>
      </c>
      <c r="C51" s="157">
        <v>226</v>
      </c>
      <c r="D51" s="218" t="s">
        <v>587</v>
      </c>
      <c r="E51" s="240">
        <v>1</v>
      </c>
      <c r="F51" s="644">
        <f>12500</f>
        <v>12500</v>
      </c>
      <c r="G51" s="690">
        <v>1</v>
      </c>
      <c r="H51" s="260">
        <f t="shared" si="3"/>
        <v>12500</v>
      </c>
      <c r="I51" s="207">
        <f t="shared" si="2"/>
        <v>12.5</v>
      </c>
      <c r="J51" s="836"/>
    </row>
    <row r="52" spans="1:10" ht="15" customHeight="1">
      <c r="A52" s="166">
        <v>9</v>
      </c>
      <c r="B52" s="437" t="s">
        <v>29</v>
      </c>
      <c r="C52" s="157">
        <v>226</v>
      </c>
      <c r="D52" s="218" t="s">
        <v>587</v>
      </c>
      <c r="E52" s="240">
        <v>20</v>
      </c>
      <c r="F52" s="644">
        <v>9500</v>
      </c>
      <c r="G52" s="690">
        <f>J2</f>
        <v>1.0369999999999999</v>
      </c>
      <c r="H52" s="260">
        <f t="shared" si="3"/>
        <v>197029.99999999997</v>
      </c>
      <c r="I52" s="207">
        <f t="shared" si="2"/>
        <v>197</v>
      </c>
      <c r="J52" s="204"/>
    </row>
    <row r="53" spans="1:10" ht="24">
      <c r="A53" s="166">
        <v>10</v>
      </c>
      <c r="B53" s="437" t="s">
        <v>678</v>
      </c>
      <c r="C53" s="157">
        <v>226</v>
      </c>
      <c r="D53" s="218" t="s">
        <v>587</v>
      </c>
      <c r="E53" s="240">
        <v>1</v>
      </c>
      <c r="F53" s="644">
        <f>5500-2500</f>
        <v>3000</v>
      </c>
      <c r="G53" s="690">
        <v>1</v>
      </c>
      <c r="H53" s="462">
        <f t="shared" si="3"/>
        <v>3000</v>
      </c>
      <c r="I53" s="207">
        <f t="shared" si="2"/>
        <v>3</v>
      </c>
      <c r="J53" s="835"/>
    </row>
    <row r="54" spans="1:10" ht="29.25" customHeight="1">
      <c r="A54" s="166">
        <v>11</v>
      </c>
      <c r="B54" s="437" t="s">
        <v>809</v>
      </c>
      <c r="C54" s="157">
        <v>226</v>
      </c>
      <c r="D54" s="218" t="s">
        <v>587</v>
      </c>
      <c r="E54" s="681">
        <v>0</v>
      </c>
      <c r="F54" s="638">
        <v>60000</v>
      </c>
      <c r="G54" s="678">
        <v>1</v>
      </c>
      <c r="H54" s="462">
        <f t="shared" si="3"/>
        <v>0</v>
      </c>
      <c r="I54" s="207">
        <f>ROUND(H54/1000,1)</f>
        <v>0</v>
      </c>
      <c r="J54" s="204"/>
    </row>
    <row r="55" spans="1:10" ht="36">
      <c r="A55" s="166">
        <v>12</v>
      </c>
      <c r="B55" s="437" t="s">
        <v>74</v>
      </c>
      <c r="C55" s="157">
        <v>226</v>
      </c>
      <c r="D55" s="218" t="s">
        <v>587</v>
      </c>
      <c r="E55" s="681">
        <v>1</v>
      </c>
      <c r="F55" s="638">
        <v>63550</v>
      </c>
      <c r="G55" s="678">
        <v>1</v>
      </c>
      <c r="H55" s="462">
        <f t="shared" si="3"/>
        <v>63550</v>
      </c>
      <c r="I55" s="250">
        <f>ROUND(H55/1000,1)</f>
        <v>63.6</v>
      </c>
      <c r="J55" s="204"/>
    </row>
    <row r="56" spans="1:10">
      <c r="A56" s="166">
        <v>13</v>
      </c>
      <c r="B56" s="437" t="s">
        <v>73</v>
      </c>
      <c r="C56" s="157">
        <v>226</v>
      </c>
      <c r="D56" s="218" t="s">
        <v>587</v>
      </c>
      <c r="E56" s="681">
        <v>12</v>
      </c>
      <c r="F56" s="638">
        <v>7300</v>
      </c>
      <c r="G56" s="233">
        <v>1</v>
      </c>
      <c r="H56" s="462">
        <f t="shared" si="3"/>
        <v>87600</v>
      </c>
      <c r="I56" s="250">
        <f>ROUND(H56/1000,1)</f>
        <v>87.6</v>
      </c>
      <c r="J56" s="834"/>
    </row>
    <row r="57" spans="1:10">
      <c r="A57" s="973" t="s">
        <v>679</v>
      </c>
      <c r="B57" s="973"/>
      <c r="C57" s="973"/>
      <c r="D57" s="973"/>
      <c r="E57" s="973"/>
      <c r="F57" s="973"/>
      <c r="G57" s="973"/>
      <c r="H57" s="692">
        <f>SUM(H44:H56)</f>
        <v>811513.7</v>
      </c>
      <c r="I57" s="687">
        <f>SUM(I44:I56)</f>
        <v>811.6</v>
      </c>
      <c r="J57" s="840"/>
    </row>
    <row r="58" spans="1:10" ht="26.25" customHeight="1">
      <c r="A58" s="198" t="s">
        <v>483</v>
      </c>
      <c r="B58" s="157" t="s">
        <v>715</v>
      </c>
      <c r="C58" s="199" t="s">
        <v>568</v>
      </c>
      <c r="D58" s="198" t="s">
        <v>614</v>
      </c>
      <c r="E58" s="198" t="s">
        <v>641</v>
      </c>
      <c r="F58" s="198" t="s">
        <v>680</v>
      </c>
      <c r="G58" s="198" t="s">
        <v>653</v>
      </c>
      <c r="H58" s="238" t="s">
        <v>690</v>
      </c>
      <c r="I58" s="198" t="s">
        <v>626</v>
      </c>
      <c r="J58" s="204"/>
    </row>
    <row r="59" spans="1:10">
      <c r="A59" s="208">
        <v>1</v>
      </c>
      <c r="B59" s="643">
        <v>2</v>
      </c>
      <c r="C59" s="205">
        <v>3</v>
      </c>
      <c r="D59" s="208">
        <v>4</v>
      </c>
      <c r="E59" s="208">
        <v>5</v>
      </c>
      <c r="F59" s="643">
        <v>6</v>
      </c>
      <c r="G59" s="208">
        <v>7</v>
      </c>
      <c r="H59" s="253">
        <v>8</v>
      </c>
      <c r="I59" s="208">
        <v>9</v>
      </c>
      <c r="J59" s="204"/>
    </row>
    <row r="60" spans="1:10" ht="24">
      <c r="A60" s="165">
        <v>1</v>
      </c>
      <c r="B60" s="437" t="s">
        <v>100</v>
      </c>
      <c r="C60" s="157">
        <v>226</v>
      </c>
      <c r="D60" s="218" t="s">
        <v>588</v>
      </c>
      <c r="E60" s="681">
        <v>2</v>
      </c>
      <c r="F60" s="638">
        <v>11000</v>
      </c>
      <c r="G60" s="678">
        <v>1</v>
      </c>
      <c r="H60" s="249">
        <f>F60*E60*G60</f>
        <v>22000</v>
      </c>
      <c r="I60" s="250">
        <f>ROUND(H60/1000,1)</f>
        <v>22</v>
      </c>
      <c r="J60" s="824"/>
    </row>
    <row r="61" spans="1:10" ht="36">
      <c r="A61" s="165">
        <v>2</v>
      </c>
      <c r="B61" s="437" t="s">
        <v>101</v>
      </c>
      <c r="C61" s="157">
        <v>226</v>
      </c>
      <c r="D61" s="218" t="s">
        <v>588</v>
      </c>
      <c r="E61" s="681">
        <v>0</v>
      </c>
      <c r="F61" s="638">
        <v>5000</v>
      </c>
      <c r="G61" s="678">
        <v>1</v>
      </c>
      <c r="H61" s="462">
        <f>F61*E61*G61</f>
        <v>0</v>
      </c>
      <c r="I61" s="250">
        <f>ROUND(H61/1000,1)</f>
        <v>0</v>
      </c>
      <c r="J61" s="836"/>
    </row>
    <row r="62" spans="1:10" ht="48">
      <c r="A62" s="165">
        <v>3</v>
      </c>
      <c r="B62" s="437" t="s">
        <v>102</v>
      </c>
      <c r="C62" s="157">
        <v>226</v>
      </c>
      <c r="D62" s="218" t="s">
        <v>588</v>
      </c>
      <c r="E62" s="681">
        <v>0</v>
      </c>
      <c r="F62" s="638">
        <v>3600</v>
      </c>
      <c r="G62" s="678">
        <v>1</v>
      </c>
      <c r="H62" s="462">
        <f>F62*E62*G62</f>
        <v>0</v>
      </c>
      <c r="I62" s="250">
        <f>ROUND(H62/1000,1)</f>
        <v>0</v>
      </c>
      <c r="J62" s="836"/>
    </row>
    <row r="63" spans="1:10" ht="24">
      <c r="A63" s="165">
        <v>4</v>
      </c>
      <c r="B63" s="437" t="s">
        <v>103</v>
      </c>
      <c r="C63" s="157">
        <v>226</v>
      </c>
      <c r="D63" s="218" t="s">
        <v>588</v>
      </c>
      <c r="E63" s="681">
        <v>0</v>
      </c>
      <c r="F63" s="638">
        <v>2500</v>
      </c>
      <c r="G63" s="678">
        <v>1</v>
      </c>
      <c r="H63" s="462">
        <f>F63*E63*G63</f>
        <v>0</v>
      </c>
      <c r="I63" s="250">
        <f>ROUND(H63/1000,1)</f>
        <v>0</v>
      </c>
      <c r="J63" s="836"/>
    </row>
    <row r="64" spans="1:10" ht="13.5" customHeight="1">
      <c r="A64" s="973" t="s">
        <v>681</v>
      </c>
      <c r="B64" s="973"/>
      <c r="C64" s="973"/>
      <c r="D64" s="973"/>
      <c r="E64" s="973"/>
      <c r="F64" s="973"/>
      <c r="G64" s="973"/>
      <c r="H64" s="692">
        <f>SUM(H60:H63)</f>
        <v>22000</v>
      </c>
      <c r="I64" s="692">
        <f>SUM(I60:I63)</f>
        <v>22</v>
      </c>
      <c r="J64" s="470"/>
    </row>
    <row r="65" spans="1:12" ht="28.5" customHeight="1">
      <c r="A65" s="198" t="s">
        <v>483</v>
      </c>
      <c r="B65" s="157" t="s">
        <v>715</v>
      </c>
      <c r="C65" s="199" t="s">
        <v>568</v>
      </c>
      <c r="D65" s="198" t="s">
        <v>614</v>
      </c>
      <c r="E65" s="1071" t="s">
        <v>907</v>
      </c>
      <c r="F65" s="1072"/>
      <c r="G65" s="198" t="s">
        <v>630</v>
      </c>
      <c r="H65" s="238" t="s">
        <v>690</v>
      </c>
      <c r="I65" s="198" t="s">
        <v>626</v>
      </c>
    </row>
    <row r="66" spans="1:12" ht="13.5" customHeight="1">
      <c r="A66" s="208">
        <v>1</v>
      </c>
      <c r="B66" s="643">
        <v>2</v>
      </c>
      <c r="C66" s="205">
        <v>3</v>
      </c>
      <c r="D66" s="208">
        <v>4</v>
      </c>
      <c r="E66" s="1073">
        <v>5</v>
      </c>
      <c r="F66" s="1074"/>
      <c r="G66" s="208">
        <v>6</v>
      </c>
      <c r="H66" s="253">
        <v>7</v>
      </c>
      <c r="I66" s="208">
        <v>8</v>
      </c>
    </row>
    <row r="67" spans="1:12" ht="24">
      <c r="A67" s="255">
        <v>1</v>
      </c>
      <c r="B67" s="641" t="s">
        <v>682</v>
      </c>
      <c r="C67" s="198">
        <v>226</v>
      </c>
      <c r="D67" s="154">
        <v>843</v>
      </c>
      <c r="E67" s="1075">
        <v>10</v>
      </c>
      <c r="F67" s="1076"/>
      <c r="G67" s="217">
        <v>1000</v>
      </c>
      <c r="H67" s="249">
        <f>E67*G67</f>
        <v>10000</v>
      </c>
      <c r="I67" s="203">
        <f>ROUND(H67/1000,1)</f>
        <v>10</v>
      </c>
    </row>
    <row r="68" spans="1:12" ht="13.5" customHeight="1">
      <c r="A68" s="973" t="s">
        <v>906</v>
      </c>
      <c r="B68" s="973"/>
      <c r="C68" s="973"/>
      <c r="D68" s="973"/>
      <c r="E68" s="973"/>
      <c r="F68" s="973"/>
      <c r="G68" s="973"/>
      <c r="H68" s="692">
        <f>H67</f>
        <v>10000</v>
      </c>
      <c r="I68" s="687">
        <f>I67</f>
        <v>10</v>
      </c>
    </row>
    <row r="69" spans="1:12" ht="24" customHeight="1">
      <c r="A69" s="198" t="s">
        <v>483</v>
      </c>
      <c r="B69" s="157" t="s">
        <v>715</v>
      </c>
      <c r="C69" s="199" t="s">
        <v>568</v>
      </c>
      <c r="D69" s="198" t="s">
        <v>614</v>
      </c>
      <c r="E69" s="198" t="s">
        <v>697</v>
      </c>
      <c r="F69" s="198" t="s">
        <v>615</v>
      </c>
      <c r="G69" s="198" t="s">
        <v>630</v>
      </c>
      <c r="H69" s="238" t="s">
        <v>690</v>
      </c>
      <c r="I69" s="198" t="s">
        <v>626</v>
      </c>
    </row>
    <row r="70" spans="1:12" ht="13.5" customHeight="1">
      <c r="A70" s="208">
        <v>1</v>
      </c>
      <c r="B70" s="643">
        <v>2</v>
      </c>
      <c r="C70" s="205">
        <v>3</v>
      </c>
      <c r="D70" s="208">
        <v>4</v>
      </c>
      <c r="E70" s="208">
        <v>5</v>
      </c>
      <c r="F70" s="643">
        <v>6</v>
      </c>
      <c r="G70" s="208">
        <v>7</v>
      </c>
      <c r="H70" s="253">
        <v>8</v>
      </c>
      <c r="I70" s="208">
        <v>9</v>
      </c>
    </row>
    <row r="71" spans="1:12" ht="37.5" customHeight="1">
      <c r="A71" s="255">
        <v>1</v>
      </c>
      <c r="B71" s="641" t="s">
        <v>696</v>
      </c>
      <c r="C71" s="198">
        <v>226</v>
      </c>
      <c r="D71" s="154">
        <v>845</v>
      </c>
      <c r="E71" s="240">
        <v>1</v>
      </c>
      <c r="F71" s="184" t="s">
        <v>698</v>
      </c>
      <c r="G71" s="217">
        <f>10*2*300</f>
        <v>6000</v>
      </c>
      <c r="H71" s="249">
        <f>E71*G71</f>
        <v>6000</v>
      </c>
      <c r="I71" s="203">
        <f>ROUND(H71/1000,1)</f>
        <v>6</v>
      </c>
    </row>
    <row r="72" spans="1:12" ht="13.5" customHeight="1">
      <c r="A72" s="973" t="s">
        <v>699</v>
      </c>
      <c r="B72" s="973"/>
      <c r="C72" s="973"/>
      <c r="D72" s="973"/>
      <c r="E72" s="973"/>
      <c r="F72" s="973"/>
      <c r="G72" s="973"/>
      <c r="H72" s="692">
        <f>H71</f>
        <v>6000</v>
      </c>
      <c r="I72" s="687">
        <f>I71</f>
        <v>6</v>
      </c>
      <c r="J72" s="531"/>
    </row>
    <row r="73" spans="1:12">
      <c r="A73" s="1090" t="s">
        <v>633</v>
      </c>
      <c r="B73" s="1090"/>
      <c r="C73" s="1090"/>
      <c r="D73" s="1090"/>
      <c r="E73" s="1090"/>
      <c r="F73" s="1090"/>
      <c r="G73" s="1090"/>
      <c r="H73" s="676">
        <f>H68+H64+H57+H41+H72</f>
        <v>869577.7</v>
      </c>
      <c r="I73" s="266">
        <f>I68+I64+I57+I41+I72</f>
        <v>869.7</v>
      </c>
    </row>
    <row r="75" spans="1:12" ht="15" customHeight="1">
      <c r="A75" s="994" t="s">
        <v>684</v>
      </c>
      <c r="B75" s="994"/>
      <c r="C75" s="994"/>
      <c r="D75" s="994"/>
      <c r="E75" s="994"/>
      <c r="F75" s="994"/>
      <c r="G75" s="994"/>
      <c r="H75" s="994"/>
    </row>
    <row r="76" spans="1:12" ht="24" customHeight="1">
      <c r="A76" s="198" t="s">
        <v>483</v>
      </c>
      <c r="B76" s="157" t="s">
        <v>715</v>
      </c>
      <c r="C76" s="199" t="s">
        <v>568</v>
      </c>
      <c r="D76" s="198" t="s">
        <v>614</v>
      </c>
      <c r="E76" s="198" t="s">
        <v>635</v>
      </c>
      <c r="F76" s="198" t="s">
        <v>630</v>
      </c>
      <c r="G76" s="238" t="s">
        <v>690</v>
      </c>
      <c r="H76" s="198" t="s">
        <v>626</v>
      </c>
    </row>
    <row r="77" spans="1:12">
      <c r="A77" s="160">
        <v>1</v>
      </c>
      <c r="B77" s="160">
        <v>2</v>
      </c>
      <c r="C77" s="160">
        <v>3</v>
      </c>
      <c r="D77" s="160">
        <v>4</v>
      </c>
      <c r="E77" s="160">
        <v>5</v>
      </c>
      <c r="F77" s="160">
        <v>6</v>
      </c>
      <c r="G77" s="160">
        <v>7</v>
      </c>
      <c r="H77" s="160">
        <v>8</v>
      </c>
    </row>
    <row r="78" spans="1:12" ht="13.5" customHeight="1">
      <c r="A78" s="160">
        <v>1</v>
      </c>
      <c r="B78" s="437" t="s">
        <v>154</v>
      </c>
      <c r="C78" s="157">
        <v>310</v>
      </c>
      <c r="D78" s="154">
        <v>814</v>
      </c>
      <c r="E78" s="240">
        <v>3</v>
      </c>
      <c r="F78" s="636">
        <v>32000</v>
      </c>
      <c r="G78" s="249">
        <f>E78*F78</f>
        <v>96000</v>
      </c>
      <c r="H78" s="207">
        <f>ROUND(G78/1000,1)</f>
        <v>96</v>
      </c>
      <c r="J78" s="196"/>
    </row>
    <row r="79" spans="1:12" ht="13.5" customHeight="1">
      <c r="A79" s="160">
        <v>2</v>
      </c>
      <c r="B79" s="437" t="s">
        <v>112</v>
      </c>
      <c r="C79" s="157">
        <v>310</v>
      </c>
      <c r="D79" s="154">
        <v>814</v>
      </c>
      <c r="E79" s="240">
        <v>0</v>
      </c>
      <c r="F79" s="636">
        <v>17800</v>
      </c>
      <c r="G79" s="249">
        <f>E79*F79</f>
        <v>0</v>
      </c>
      <c r="H79" s="207">
        <f>ROUND(G79/1000,1)</f>
        <v>0</v>
      </c>
      <c r="L79" s="691" t="s">
        <v>32</v>
      </c>
    </row>
    <row r="80" spans="1:12" ht="13.5" customHeight="1">
      <c r="A80" s="160">
        <v>3</v>
      </c>
      <c r="B80" s="437" t="s">
        <v>113</v>
      </c>
      <c r="C80" s="157">
        <v>310</v>
      </c>
      <c r="D80" s="154">
        <v>814</v>
      </c>
      <c r="E80" s="240">
        <v>0</v>
      </c>
      <c r="F80" s="636">
        <f>20000-6000</f>
        <v>14000</v>
      </c>
      <c r="G80" s="249">
        <f>E80*F80</f>
        <v>0</v>
      </c>
      <c r="H80" s="207">
        <f>ROUND(G80/1000,1)</f>
        <v>0</v>
      </c>
      <c r="I80" s="470"/>
      <c r="J80" s="196"/>
    </row>
    <row r="81" spans="1:10" ht="13.5" customHeight="1">
      <c r="A81" s="160">
        <v>4</v>
      </c>
      <c r="B81" s="437" t="s">
        <v>155</v>
      </c>
      <c r="C81" s="157">
        <v>310</v>
      </c>
      <c r="D81" s="154">
        <v>814</v>
      </c>
      <c r="E81" s="240">
        <v>3</v>
      </c>
      <c r="F81" s="636">
        <v>18800</v>
      </c>
      <c r="G81" s="249">
        <f>E81*F81</f>
        <v>56400</v>
      </c>
      <c r="H81" s="207">
        <f>ROUND(G81/1000,1)</f>
        <v>56.4</v>
      </c>
      <c r="I81" s="470"/>
      <c r="J81" s="196"/>
    </row>
    <row r="82" spans="1:10">
      <c r="A82" s="1086" t="s">
        <v>685</v>
      </c>
      <c r="B82" s="1087"/>
      <c r="C82" s="1087"/>
      <c r="D82" s="1087"/>
      <c r="E82" s="1087"/>
      <c r="F82" s="1087"/>
      <c r="G82" s="683">
        <f>SUM(G78:G81)</f>
        <v>152400</v>
      </c>
      <c r="H82" s="259">
        <f>SUM(H78:H81)</f>
        <v>152.4</v>
      </c>
      <c r="I82" s="842"/>
      <c r="J82" s="211"/>
    </row>
    <row r="84" spans="1:10" ht="15" customHeight="1">
      <c r="A84" s="1088" t="s">
        <v>31</v>
      </c>
      <c r="B84" s="1088"/>
      <c r="C84" s="1088"/>
      <c r="D84" s="1088"/>
      <c r="E84" s="1088"/>
      <c r="F84" s="1088"/>
      <c r="G84" s="1088"/>
      <c r="H84" s="1088"/>
      <c r="I84" s="419"/>
    </row>
    <row r="85" spans="1:10" ht="24">
      <c r="A85" s="198" t="s">
        <v>483</v>
      </c>
      <c r="B85" s="157" t="s">
        <v>715</v>
      </c>
      <c r="C85" s="199" t="s">
        <v>568</v>
      </c>
      <c r="D85" s="198" t="s">
        <v>614</v>
      </c>
      <c r="E85" s="198" t="s">
        <v>635</v>
      </c>
      <c r="F85" s="198" t="s">
        <v>630</v>
      </c>
      <c r="G85" s="238" t="s">
        <v>690</v>
      </c>
      <c r="H85" s="198" t="s">
        <v>626</v>
      </c>
      <c r="I85" s="190"/>
    </row>
    <row r="86" spans="1:10">
      <c r="A86" s="160">
        <v>1</v>
      </c>
      <c r="B86" s="160">
        <v>2</v>
      </c>
      <c r="C86" s="160">
        <v>3</v>
      </c>
      <c r="D86" s="160">
        <v>4</v>
      </c>
      <c r="E86" s="160">
        <v>5</v>
      </c>
      <c r="F86" s="160">
        <v>6</v>
      </c>
      <c r="G86" s="252">
        <v>7</v>
      </c>
      <c r="H86" s="160">
        <v>8</v>
      </c>
    </row>
    <row r="87" spans="1:10">
      <c r="A87" s="160">
        <v>1</v>
      </c>
      <c r="B87" s="437" t="s">
        <v>85</v>
      </c>
      <c r="C87" s="157">
        <v>343</v>
      </c>
      <c r="D87" s="154"/>
      <c r="E87" s="199">
        <v>0</v>
      </c>
      <c r="F87" s="646">
        <v>78.8</v>
      </c>
      <c r="G87" s="260">
        <f>E87*F87</f>
        <v>0</v>
      </c>
      <c r="H87" s="207">
        <f>ROUND(G87/1000,1)</f>
        <v>0</v>
      </c>
      <c r="I87" s="531"/>
      <c r="J87" s="215"/>
    </row>
    <row r="88" spans="1:10">
      <c r="A88" s="160">
        <v>2</v>
      </c>
      <c r="B88" s="437" t="s">
        <v>86</v>
      </c>
      <c r="C88" s="157">
        <v>343</v>
      </c>
      <c r="D88" s="154"/>
      <c r="E88" s="199"/>
      <c r="F88" s="646"/>
      <c r="G88" s="260">
        <v>6600</v>
      </c>
      <c r="H88" s="207">
        <f>ROUND(G88/1000,1)</f>
        <v>6.6</v>
      </c>
      <c r="I88" s="531"/>
      <c r="J88" s="215"/>
    </row>
    <row r="89" spans="1:10">
      <c r="A89" s="1079" t="s">
        <v>876</v>
      </c>
      <c r="B89" s="1079"/>
      <c r="C89" s="1079"/>
      <c r="D89" s="1079"/>
      <c r="E89" s="1079"/>
      <c r="F89" s="1079"/>
      <c r="G89" s="686">
        <f>SUM(G87:G88)</f>
        <v>6600</v>
      </c>
      <c r="H89" s="259">
        <f>SUM(H87:H88)</f>
        <v>6.6</v>
      </c>
    </row>
    <row r="91" spans="1:10">
      <c r="A91" s="1088" t="s">
        <v>875</v>
      </c>
      <c r="B91" s="1088"/>
      <c r="C91" s="1088"/>
      <c r="D91" s="1088"/>
      <c r="E91" s="1088"/>
      <c r="F91" s="1088"/>
      <c r="G91" s="1088"/>
      <c r="H91" s="1088"/>
    </row>
    <row r="92" spans="1:10" ht="24">
      <c r="A92" s="198" t="s">
        <v>483</v>
      </c>
      <c r="B92" s="157" t="s">
        <v>715</v>
      </c>
      <c r="C92" s="199" t="s">
        <v>568</v>
      </c>
      <c r="D92" s="198" t="s">
        <v>614</v>
      </c>
      <c r="E92" s="198" t="s">
        <v>635</v>
      </c>
      <c r="F92" s="198" t="s">
        <v>630</v>
      </c>
      <c r="G92" s="238" t="s">
        <v>690</v>
      </c>
      <c r="H92" s="198" t="s">
        <v>626</v>
      </c>
    </row>
    <row r="93" spans="1:10">
      <c r="A93" s="160">
        <v>1</v>
      </c>
      <c r="B93" s="160">
        <v>2</v>
      </c>
      <c r="C93" s="160">
        <v>3</v>
      </c>
      <c r="D93" s="160">
        <v>4</v>
      </c>
      <c r="E93" s="160">
        <v>5</v>
      </c>
      <c r="F93" s="160">
        <v>6</v>
      </c>
      <c r="G93" s="252">
        <v>7</v>
      </c>
      <c r="H93" s="160">
        <v>8</v>
      </c>
    </row>
    <row r="94" spans="1:10">
      <c r="A94" s="160">
        <v>2</v>
      </c>
      <c r="B94" s="437" t="s">
        <v>686</v>
      </c>
      <c r="C94" s="157">
        <v>346</v>
      </c>
      <c r="D94" s="154"/>
      <c r="E94" s="199">
        <v>1</v>
      </c>
      <c r="F94" s="646">
        <v>50000</v>
      </c>
      <c r="G94" s="462">
        <f>E94*F94</f>
        <v>50000</v>
      </c>
      <c r="H94" s="207">
        <f>ROUND(G94/1000,1)</f>
        <v>50</v>
      </c>
    </row>
    <row r="95" spans="1:10">
      <c r="A95" s="1079" t="s">
        <v>876</v>
      </c>
      <c r="B95" s="1079"/>
      <c r="C95" s="1079"/>
      <c r="D95" s="1079"/>
      <c r="E95" s="1079"/>
      <c r="F95" s="1079"/>
      <c r="G95" s="686">
        <f>SUM(G94:G94)</f>
        <v>50000</v>
      </c>
      <c r="H95" s="259">
        <f>H94</f>
        <v>50</v>
      </c>
      <c r="I95" s="470"/>
    </row>
    <row r="97" spans="1:10">
      <c r="A97" s="998" t="s">
        <v>705</v>
      </c>
      <c r="B97" s="998"/>
      <c r="C97" s="998"/>
      <c r="D97" s="998"/>
      <c r="E97" s="998"/>
      <c r="F97" s="998"/>
      <c r="G97" s="998"/>
      <c r="H97" s="998"/>
      <c r="I97" s="998"/>
    </row>
    <row r="98" spans="1:10" ht="24">
      <c r="A98" s="198" t="s">
        <v>483</v>
      </c>
      <c r="B98" s="157" t="s">
        <v>715</v>
      </c>
      <c r="C98" s="199" t="s">
        <v>568</v>
      </c>
      <c r="D98" s="198" t="s">
        <v>614</v>
      </c>
      <c r="E98" s="1071" t="s">
        <v>615</v>
      </c>
      <c r="F98" s="1072"/>
      <c r="G98" s="1098"/>
      <c r="H98" s="238" t="s">
        <v>690</v>
      </c>
      <c r="I98" s="198" t="s">
        <v>626</v>
      </c>
    </row>
    <row r="99" spans="1:10">
      <c r="A99" s="208">
        <v>1</v>
      </c>
      <c r="B99" s="208">
        <v>2</v>
      </c>
      <c r="C99" s="208">
        <v>3</v>
      </c>
      <c r="D99" s="208">
        <v>4</v>
      </c>
      <c r="E99" s="1073">
        <v>5</v>
      </c>
      <c r="F99" s="1074"/>
      <c r="G99" s="1094"/>
      <c r="H99" s="252">
        <v>6</v>
      </c>
      <c r="I99" s="208">
        <v>7</v>
      </c>
    </row>
    <row r="100" spans="1:10" ht="24">
      <c r="A100" s="160">
        <v>1</v>
      </c>
      <c r="B100" s="437" t="s">
        <v>33</v>
      </c>
      <c r="C100" s="198">
        <v>291</v>
      </c>
      <c r="D100" s="199"/>
      <c r="E100" s="1095" t="s">
        <v>156</v>
      </c>
      <c r="F100" s="1096"/>
      <c r="G100" s="1097"/>
      <c r="H100" s="685">
        <v>165000</v>
      </c>
      <c r="I100" s="257">
        <f>ROUND(H100/1000,1)</f>
        <v>165</v>
      </c>
      <c r="J100" s="470"/>
    </row>
    <row r="101" spans="1:10" ht="24">
      <c r="A101" s="205">
        <v>2</v>
      </c>
      <c r="B101" s="629" t="s">
        <v>706</v>
      </c>
      <c r="C101" s="198">
        <v>292</v>
      </c>
      <c r="D101" s="199"/>
      <c r="E101" s="1091"/>
      <c r="F101" s="1092"/>
      <c r="G101" s="1093"/>
      <c r="H101" s="685">
        <v>0</v>
      </c>
      <c r="I101" s="257">
        <f>ROUND(H101/1000,1)</f>
        <v>0</v>
      </c>
    </row>
    <row r="102" spans="1:10" ht="24">
      <c r="A102" s="160">
        <v>3</v>
      </c>
      <c r="B102" s="629" t="s">
        <v>606</v>
      </c>
      <c r="C102" s="198">
        <v>293</v>
      </c>
      <c r="D102" s="199"/>
      <c r="E102" s="1091"/>
      <c r="F102" s="1092"/>
      <c r="G102" s="1093"/>
      <c r="H102" s="685">
        <v>0</v>
      </c>
      <c r="I102" s="257">
        <f>ROUND(H102/1000,1)</f>
        <v>0</v>
      </c>
    </row>
    <row r="103" spans="1:10">
      <c r="A103" s="1086" t="s">
        <v>683</v>
      </c>
      <c r="B103" s="1087"/>
      <c r="C103" s="1087"/>
      <c r="D103" s="1087"/>
      <c r="E103" s="1087"/>
      <c r="F103" s="1087"/>
      <c r="G103" s="1089"/>
      <c r="H103" s="659">
        <f>SUM(H100:H102)</f>
        <v>165000</v>
      </c>
      <c r="I103" s="659">
        <f>SUM(I100:I102)</f>
        <v>165</v>
      </c>
    </row>
    <row r="106" spans="1:10">
      <c r="A106" s="992" t="s">
        <v>621</v>
      </c>
      <c r="B106" s="992"/>
      <c r="C106" s="162"/>
      <c r="D106" s="993"/>
      <c r="E106" s="993"/>
      <c r="G106" s="993" t="str">
        <f ca="1">рВДЛ!G29</f>
        <v>М.В. Златова</v>
      </c>
      <c r="H106" s="993"/>
    </row>
    <row r="107" spans="1:10">
      <c r="A107" s="1001" t="s">
        <v>554</v>
      </c>
      <c r="B107" s="1001"/>
      <c r="C107" s="163"/>
      <c r="D107" s="1002" t="s">
        <v>555</v>
      </c>
      <c r="E107" s="1002"/>
      <c r="G107" s="1002" t="s">
        <v>556</v>
      </c>
      <c r="H107" s="1002"/>
    </row>
    <row r="108" spans="1:10">
      <c r="A108" s="992" t="str">
        <f ca="1">рВДЛ!A31</f>
        <v>Исполнитель: финансист</v>
      </c>
      <c r="B108" s="992"/>
      <c r="C108" s="162"/>
      <c r="D108" s="993"/>
      <c r="E108" s="993"/>
      <c r="G108" s="993" t="str">
        <f ca="1">рВДЛ!G31</f>
        <v>Е.Н. Рыбалка</v>
      </c>
      <c r="H108" s="993"/>
    </row>
    <row r="109" spans="1:10">
      <c r="A109" s="1001" t="s">
        <v>554</v>
      </c>
      <c r="B109" s="1001"/>
      <c r="C109" s="163"/>
      <c r="D109" s="1002" t="s">
        <v>555</v>
      </c>
      <c r="E109" s="1002"/>
      <c r="G109" s="1002" t="s">
        <v>556</v>
      </c>
      <c r="H109" s="1002"/>
    </row>
  </sheetData>
  <mergeCells count="45">
    <mergeCell ref="A73:G73"/>
    <mergeCell ref="E102:G102"/>
    <mergeCell ref="E99:G99"/>
    <mergeCell ref="E100:G100"/>
    <mergeCell ref="E101:G101"/>
    <mergeCell ref="E98:G98"/>
    <mergeCell ref="A91:H91"/>
    <mergeCell ref="A95:F95"/>
    <mergeCell ref="A97:I97"/>
    <mergeCell ref="A84:H84"/>
    <mergeCell ref="G106:H106"/>
    <mergeCell ref="A107:B107"/>
    <mergeCell ref="D107:E107"/>
    <mergeCell ref="G107:H107"/>
    <mergeCell ref="A106:B106"/>
    <mergeCell ref="D106:E106"/>
    <mergeCell ref="A103:G103"/>
    <mergeCell ref="A109:B109"/>
    <mergeCell ref="D109:E109"/>
    <mergeCell ref="G109:H109"/>
    <mergeCell ref="A108:B108"/>
    <mergeCell ref="D108:E108"/>
    <mergeCell ref="G108:H108"/>
    <mergeCell ref="A21:F21"/>
    <mergeCell ref="A15:G15"/>
    <mergeCell ref="A1:I1"/>
    <mergeCell ref="A6:I6"/>
    <mergeCell ref="A3:I3"/>
    <mergeCell ref="A4:I4"/>
    <mergeCell ref="A75:H75"/>
    <mergeCell ref="A27:G27"/>
    <mergeCell ref="A89:F89"/>
    <mergeCell ref="A64:G64"/>
    <mergeCell ref="A57:G57"/>
    <mergeCell ref="A34:G34"/>
    <mergeCell ref="A37:I37"/>
    <mergeCell ref="A35:G35"/>
    <mergeCell ref="A41:G41"/>
    <mergeCell ref="A82:F82"/>
    <mergeCell ref="A72:G72"/>
    <mergeCell ref="A68:G68"/>
    <mergeCell ref="E65:F65"/>
    <mergeCell ref="E66:F66"/>
    <mergeCell ref="E67:F67"/>
    <mergeCell ref="A23:I23"/>
  </mergeCells>
  <phoneticPr fontId="0" type="noConversion"/>
  <pageMargins left="0.7" right="0.7" top="0.75" bottom="0.75" header="0.3" footer="0.3"/>
  <pageSetup paperSize="9" orientation="portrait" verticalDpi="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8"/>
  <sheetViews>
    <sheetView showZeros="0" topLeftCell="A43" workbookViewId="0">
      <selection activeCell="I23" sqref="I23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10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0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0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0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0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3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4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</row>
    <row r="12" spans="1:9" s="170" customFormat="1" ht="33.75" customHeight="1">
      <c r="A12" s="988" t="s">
        <v>387</v>
      </c>
      <c r="B12" s="988"/>
      <c r="C12" s="988"/>
      <c r="D12" s="988"/>
      <c r="E12" s="988"/>
      <c r="F12" s="988"/>
      <c r="G12" s="988"/>
      <c r="H12" s="988"/>
      <c r="I12" s="721"/>
    </row>
    <row r="13" spans="1:9" s="170" customFormat="1" ht="6" customHeight="1">
      <c r="E13" s="722"/>
      <c r="F13" s="722"/>
      <c r="G13" s="722"/>
      <c r="H13" s="722"/>
      <c r="I13" s="721"/>
    </row>
    <row r="14" spans="1:9" s="170" customFormat="1" ht="12.75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721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72"/>
    </row>
    <row r="16" spans="1:9">
      <c r="A16" s="512" t="s">
        <v>852</v>
      </c>
      <c r="B16" s="529" t="s">
        <v>358</v>
      </c>
      <c r="C16" s="529" t="s">
        <v>388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483.4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733"/>
      <c r="F23" s="508">
        <v>214</v>
      </c>
      <c r="G23" s="508">
        <v>831</v>
      </c>
      <c r="H23" s="264"/>
    </row>
    <row r="24" spans="1:8">
      <c r="A24" s="513" t="s">
        <v>857</v>
      </c>
      <c r="B24" s="726"/>
      <c r="C24" s="726"/>
      <c r="D24" s="726"/>
      <c r="E24" s="726"/>
      <c r="F24" s="506">
        <v>220</v>
      </c>
      <c r="G24" s="506"/>
      <c r="H24" s="727">
        <f>H25+H26+H28+H32+H36</f>
        <v>0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8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8">
      <c r="A32" s="514" t="s">
        <v>859</v>
      </c>
      <c r="B32" s="728"/>
      <c r="C32" s="728"/>
      <c r="D32" s="728"/>
      <c r="E32" s="728"/>
      <c r="F32" s="507">
        <v>225</v>
      </c>
      <c r="G32" s="507"/>
      <c r="H32" s="730">
        <f>SUM(H33:H35)</f>
        <v>0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/>
      <c r="C34" s="732"/>
      <c r="D34" s="732"/>
      <c r="E34" s="732"/>
      <c r="F34" s="508">
        <v>225</v>
      </c>
      <c r="G34" s="508" t="s">
        <v>583</v>
      </c>
      <c r="H34" s="264"/>
      <c r="I34" s="721"/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>SUM(H37:H43)</f>
        <v>0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73"/>
    </row>
    <row r="38" spans="1:9">
      <c r="A38" s="515" t="s">
        <v>586</v>
      </c>
      <c r="B38" s="732"/>
      <c r="C38" s="732"/>
      <c r="D38" s="732"/>
      <c r="E38" s="732"/>
      <c r="F38" s="508">
        <v>226</v>
      </c>
      <c r="G38" s="508" t="s">
        <v>587</v>
      </c>
      <c r="H38" s="264"/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733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</row>
    <row r="46" spans="1:9">
      <c r="A46" s="513" t="s">
        <v>863</v>
      </c>
      <c r="B46" s="737" t="s">
        <v>358</v>
      </c>
      <c r="C46" s="737" t="s">
        <v>388</v>
      </c>
      <c r="D46" s="737" t="s">
        <v>391</v>
      </c>
      <c r="E46" s="737" t="s">
        <v>601</v>
      </c>
      <c r="F46" s="506" t="s">
        <v>589</v>
      </c>
      <c r="G46" s="506"/>
      <c r="H46" s="738">
        <f>H47</f>
        <v>483.4</v>
      </c>
      <c r="I46" s="721"/>
    </row>
    <row r="47" spans="1:9">
      <c r="A47" s="517" t="s">
        <v>864</v>
      </c>
      <c r="B47" s="529" t="s">
        <v>358</v>
      </c>
      <c r="C47" s="529" t="s">
        <v>388</v>
      </c>
      <c r="D47" s="529" t="s">
        <v>391</v>
      </c>
      <c r="E47" s="529" t="s">
        <v>601</v>
      </c>
      <c r="F47" s="511">
        <v>251</v>
      </c>
      <c r="G47" s="511"/>
      <c r="H47" s="528">
        <f ca="1">рКСП!H10</f>
        <v>483.4</v>
      </c>
      <c r="I47" s="574">
        <v>483400</v>
      </c>
    </row>
    <row r="48" spans="1:9">
      <c r="A48" s="513" t="s">
        <v>865</v>
      </c>
      <c r="B48" s="737"/>
      <c r="C48" s="737"/>
      <c r="D48" s="737"/>
      <c r="E48" s="731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9">
      <c r="A65" s="517" t="s">
        <v>710</v>
      </c>
      <c r="B65" s="728" t="s">
        <v>358</v>
      </c>
      <c r="C65" s="728" t="s">
        <v>388</v>
      </c>
      <c r="D65" s="728" t="s">
        <v>391</v>
      </c>
      <c r="E65" s="728" t="s">
        <v>393</v>
      </c>
      <c r="F65" s="511"/>
      <c r="G65" s="511"/>
      <c r="H65" s="730">
        <f>H47</f>
        <v>483.4</v>
      </c>
    </row>
    <row r="66" spans="1:9">
      <c r="A66" s="519" t="s">
        <v>602</v>
      </c>
      <c r="B66" s="728" t="s">
        <v>358</v>
      </c>
      <c r="C66" s="728" t="s">
        <v>388</v>
      </c>
      <c r="D66" s="728" t="s">
        <v>708</v>
      </c>
      <c r="E66" s="728" t="s">
        <v>570</v>
      </c>
      <c r="F66" s="518"/>
      <c r="G66" s="518"/>
      <c r="H66" s="730">
        <f>H59+H16</f>
        <v>483.4</v>
      </c>
      <c r="I66" s="574">
        <f>SUM(I16:I64)</f>
        <v>483400</v>
      </c>
    </row>
    <row r="67" spans="1:9">
      <c r="A67" s="742"/>
      <c r="B67" s="743"/>
      <c r="C67" s="743"/>
      <c r="D67" s="743"/>
      <c r="E67" s="743"/>
      <c r="F67" s="743"/>
      <c r="G67" s="743"/>
      <c r="H67" s="744"/>
    </row>
    <row r="68" spans="1:9">
      <c r="I68" s="721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92D050"/>
  </sheetPr>
  <dimension ref="A1:M16"/>
  <sheetViews>
    <sheetView workbookViewId="0">
      <selection activeCell="A10" sqref="A10:F10"/>
    </sheetView>
  </sheetViews>
  <sheetFormatPr defaultColWidth="10.5703125" defaultRowHeight="15"/>
  <cols>
    <col min="1" max="1" width="4" style="139" customWidth="1"/>
    <col min="2" max="2" width="25.28515625" style="139" customWidth="1"/>
    <col min="3" max="3" width="8.7109375" style="139" customWidth="1"/>
    <col min="4" max="4" width="8" style="139" customWidth="1"/>
    <col min="5" max="5" width="10.28515625" style="139" customWidth="1"/>
    <col min="6" max="8" width="10.42578125" style="139" customWidth="1"/>
    <col min="9" max="9" width="11.5703125" style="139" customWidth="1"/>
    <col min="10" max="10" width="9.140625" style="139" customWidth="1"/>
    <col min="11" max="11" width="10.5703125" style="139" bestFit="1" customWidth="1"/>
    <col min="12" max="254" width="9.140625" style="139" customWidth="1"/>
    <col min="255" max="255" width="4" style="139" customWidth="1"/>
    <col min="256" max="16384" width="10.5703125" style="139"/>
  </cols>
  <sheetData>
    <row r="1" spans="1:13" ht="30" customHeight="1">
      <c r="A1" s="988" t="s">
        <v>387</v>
      </c>
      <c r="B1" s="988"/>
      <c r="C1" s="988"/>
      <c r="D1" s="988"/>
      <c r="E1" s="988"/>
      <c r="F1" s="988"/>
      <c r="G1" s="988"/>
      <c r="H1" s="988"/>
      <c r="I1" s="149"/>
    </row>
    <row r="3" spans="1:13" ht="15.75">
      <c r="A3" s="1003" t="s">
        <v>609</v>
      </c>
      <c r="B3" s="1003"/>
      <c r="C3" s="1003"/>
      <c r="D3" s="1003"/>
      <c r="E3" s="1003"/>
      <c r="F3" s="1003"/>
      <c r="G3" s="1003"/>
      <c r="H3" s="1003"/>
      <c r="I3" s="187"/>
    </row>
    <row r="4" spans="1:13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  <c r="I4" s="188"/>
    </row>
    <row r="6" spans="1:13">
      <c r="A6" s="994" t="s">
        <v>711</v>
      </c>
      <c r="B6" s="994"/>
      <c r="C6" s="994"/>
      <c r="D6" s="994"/>
      <c r="E6" s="994"/>
      <c r="F6" s="994"/>
      <c r="G6" s="994"/>
      <c r="H6" s="994"/>
      <c r="I6" s="169"/>
    </row>
    <row r="7" spans="1:13" ht="24">
      <c r="A7" s="157" t="s">
        <v>483</v>
      </c>
      <c r="B7" s="157" t="s">
        <v>715</v>
      </c>
      <c r="C7" s="155" t="s">
        <v>568</v>
      </c>
      <c r="D7" s="156" t="s">
        <v>614</v>
      </c>
      <c r="E7" s="157" t="s">
        <v>668</v>
      </c>
      <c r="F7" s="157" t="s">
        <v>34</v>
      </c>
      <c r="G7" s="157" t="s">
        <v>690</v>
      </c>
      <c r="H7" s="157" t="s">
        <v>626</v>
      </c>
    </row>
    <row r="8" spans="1:13">
      <c r="A8" s="159">
        <v>1</v>
      </c>
      <c r="B8" s="159">
        <v>2</v>
      </c>
      <c r="C8" s="159">
        <v>3</v>
      </c>
      <c r="D8" s="159">
        <v>4</v>
      </c>
      <c r="E8" s="159">
        <v>5</v>
      </c>
      <c r="F8" s="159">
        <v>6</v>
      </c>
      <c r="G8" s="159">
        <v>7</v>
      </c>
      <c r="H8" s="160">
        <v>8</v>
      </c>
    </row>
    <row r="9" spans="1:13" ht="63.75" customHeight="1">
      <c r="A9" s="160">
        <v>1</v>
      </c>
      <c r="B9" s="437" t="s">
        <v>157</v>
      </c>
      <c r="C9" s="157">
        <v>251</v>
      </c>
      <c r="D9" s="154"/>
      <c r="E9" s="157">
        <v>4</v>
      </c>
      <c r="F9" s="217">
        <v>120850</v>
      </c>
      <c r="G9" s="217">
        <f>E9*F9</f>
        <v>483400</v>
      </c>
      <c r="H9" s="207">
        <f>ROUND(G9/1000,1)</f>
        <v>483.4</v>
      </c>
      <c r="I9" s="170"/>
      <c r="K9" s="171"/>
    </row>
    <row r="10" spans="1:13">
      <c r="A10" s="999" t="s">
        <v>628</v>
      </c>
      <c r="B10" s="1000"/>
      <c r="C10" s="1000"/>
      <c r="D10" s="1000"/>
      <c r="E10" s="1000"/>
      <c r="F10" s="1000"/>
      <c r="G10" s="694">
        <f>G9</f>
        <v>483400</v>
      </c>
      <c r="H10" s="259">
        <f>SUM(H9:H9)</f>
        <v>483.4</v>
      </c>
      <c r="K10" s="172"/>
    </row>
    <row r="11" spans="1:13">
      <c r="K11" s="172"/>
    </row>
    <row r="12" spans="1:13">
      <c r="K12" s="140"/>
      <c r="L12" s="140"/>
      <c r="M12" s="174"/>
    </row>
    <row r="13" spans="1:13">
      <c r="A13" s="992" t="s">
        <v>621</v>
      </c>
      <c r="B13" s="992"/>
      <c r="C13" s="162"/>
      <c r="D13" s="993"/>
      <c r="E13" s="993"/>
      <c r="F13" s="162"/>
      <c r="G13" s="993" t="str">
        <f ca="1">рВДЛ!G29</f>
        <v>М.В. Златова</v>
      </c>
      <c r="H13" s="993"/>
      <c r="K13" s="140"/>
      <c r="L13" s="140"/>
      <c r="M13" s="140"/>
    </row>
    <row r="14" spans="1:13">
      <c r="A14" s="1001" t="s">
        <v>554</v>
      </c>
      <c r="B14" s="1001"/>
      <c r="C14" s="163"/>
      <c r="D14" s="1001" t="s">
        <v>555</v>
      </c>
      <c r="E14" s="1001"/>
      <c r="F14" s="163"/>
      <c r="G14" s="1002" t="s">
        <v>556</v>
      </c>
      <c r="H14" s="1002"/>
    </row>
    <row r="15" spans="1:13">
      <c r="A15" s="992" t="str">
        <f ca="1">рВДЛ!A31</f>
        <v>Исполнитель: финансист</v>
      </c>
      <c r="B15" s="992"/>
      <c r="C15" s="162"/>
      <c r="D15" s="993"/>
      <c r="E15" s="993"/>
      <c r="F15" s="162"/>
      <c r="G15" s="993" t="str">
        <f ca="1">рВДЛ!G31</f>
        <v>Е.Н. Рыбалка</v>
      </c>
      <c r="H15" s="993"/>
    </row>
    <row r="16" spans="1:13">
      <c r="A16" s="1001" t="s">
        <v>554</v>
      </c>
      <c r="B16" s="1001"/>
      <c r="C16" s="163"/>
      <c r="D16" s="1001" t="s">
        <v>555</v>
      </c>
      <c r="E16" s="1001"/>
      <c r="F16" s="163"/>
      <c r="G16" s="1002" t="s">
        <v>556</v>
      </c>
      <c r="H16" s="1002"/>
    </row>
  </sheetData>
  <mergeCells count="17">
    <mergeCell ref="A10:F10"/>
    <mergeCell ref="A1:H1"/>
    <mergeCell ref="A3:H3"/>
    <mergeCell ref="A4:H4"/>
    <mergeCell ref="A6:H6"/>
    <mergeCell ref="A13:B13"/>
    <mergeCell ref="D13:E13"/>
    <mergeCell ref="G13:H13"/>
    <mergeCell ref="A14:B14"/>
    <mergeCell ref="D14:E14"/>
    <mergeCell ref="G14:H14"/>
    <mergeCell ref="A15:B15"/>
    <mergeCell ref="D15:E15"/>
    <mergeCell ref="G15:H15"/>
    <mergeCell ref="A16:B16"/>
    <mergeCell ref="D16:E16"/>
    <mergeCell ref="G16:H1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8"/>
  <sheetViews>
    <sheetView showZeros="0" topLeftCell="A40" workbookViewId="0">
      <selection activeCell="A47" sqref="A47:H47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10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0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0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0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0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3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4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</row>
    <row r="12" spans="1:9" s="170" customFormat="1">
      <c r="A12" s="988" t="s">
        <v>912</v>
      </c>
      <c r="B12" s="988"/>
      <c r="C12" s="988"/>
      <c r="D12" s="988"/>
      <c r="E12" s="988"/>
      <c r="F12" s="988"/>
      <c r="G12" s="988"/>
      <c r="H12" s="988"/>
      <c r="I12" s="721"/>
    </row>
    <row r="13" spans="1:9" s="170" customFormat="1" ht="6" customHeight="1">
      <c r="E13" s="722"/>
      <c r="F13" s="722"/>
      <c r="G13" s="722"/>
      <c r="H13" s="722"/>
      <c r="I13" s="721"/>
    </row>
    <row r="14" spans="1:9" s="170" customFormat="1" ht="12.75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721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72"/>
    </row>
    <row r="16" spans="1:9">
      <c r="A16" s="512" t="s">
        <v>852</v>
      </c>
      <c r="B16" s="529" t="s">
        <v>358</v>
      </c>
      <c r="C16" s="529" t="s">
        <v>911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200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733"/>
      <c r="F23" s="508">
        <v>214</v>
      </c>
      <c r="G23" s="508">
        <v>831</v>
      </c>
      <c r="H23" s="264"/>
    </row>
    <row r="24" spans="1:8">
      <c r="A24" s="513" t="s">
        <v>857</v>
      </c>
      <c r="B24" s="726"/>
      <c r="C24" s="726"/>
      <c r="D24" s="726"/>
      <c r="E24" s="726"/>
      <c r="F24" s="506">
        <v>220</v>
      </c>
      <c r="G24" s="506"/>
      <c r="H24" s="727">
        <f>H25+H26+H28+H32+H36</f>
        <v>0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8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8">
      <c r="A32" s="514" t="s">
        <v>859</v>
      </c>
      <c r="B32" s="728"/>
      <c r="C32" s="728"/>
      <c r="D32" s="728"/>
      <c r="E32" s="728"/>
      <c r="F32" s="507">
        <v>225</v>
      </c>
      <c r="G32" s="507"/>
      <c r="H32" s="730">
        <f>SUM(H33:H35)</f>
        <v>0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/>
      <c r="C34" s="732"/>
      <c r="D34" s="732"/>
      <c r="E34" s="732"/>
      <c r="F34" s="508">
        <v>225</v>
      </c>
      <c r="G34" s="508" t="s">
        <v>583</v>
      </c>
      <c r="H34" s="264"/>
      <c r="I34" s="721"/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>SUM(H37:H43)</f>
        <v>0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73"/>
    </row>
    <row r="38" spans="1:9">
      <c r="A38" s="515" t="s">
        <v>586</v>
      </c>
      <c r="B38" s="732"/>
      <c r="C38" s="732"/>
      <c r="D38" s="732"/>
      <c r="E38" s="732"/>
      <c r="F38" s="508">
        <v>226</v>
      </c>
      <c r="G38" s="508" t="s">
        <v>587</v>
      </c>
      <c r="H38" s="264"/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733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  <c r="I46" s="721"/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737"/>
      <c r="C48" s="737"/>
      <c r="D48" s="737"/>
      <c r="E48" s="731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 t="s">
        <v>358</v>
      </c>
      <c r="C52" s="737" t="s">
        <v>911</v>
      </c>
      <c r="D52" s="737" t="s">
        <v>916</v>
      </c>
      <c r="E52" s="737" t="s">
        <v>915</v>
      </c>
      <c r="F52" s="506" t="s">
        <v>595</v>
      </c>
      <c r="G52" s="506"/>
      <c r="H52" s="738">
        <f>SUM(H53:H58)</f>
        <v>200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</row>
    <row r="58" spans="1:8">
      <c r="A58" s="516" t="s">
        <v>877</v>
      </c>
      <c r="B58" s="728" t="s">
        <v>358</v>
      </c>
      <c r="C58" s="728" t="s">
        <v>911</v>
      </c>
      <c r="D58" s="728" t="s">
        <v>916</v>
      </c>
      <c r="E58" s="728" t="s">
        <v>915</v>
      </c>
      <c r="F58" s="510">
        <v>297</v>
      </c>
      <c r="G58" s="510"/>
      <c r="H58" s="730">
        <f ca="1">рВыборы!J10</f>
        <v>200</v>
      </c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9">
      <c r="A65" s="517" t="s">
        <v>710</v>
      </c>
      <c r="B65" s="728" t="s">
        <v>358</v>
      </c>
      <c r="C65" s="728" t="s">
        <v>911</v>
      </c>
      <c r="D65" s="728" t="s">
        <v>916</v>
      </c>
      <c r="E65" s="728" t="s">
        <v>386</v>
      </c>
      <c r="F65" s="511"/>
      <c r="G65" s="511"/>
      <c r="H65" s="730">
        <f>H58</f>
        <v>200</v>
      </c>
    </row>
    <row r="66" spans="1:9">
      <c r="A66" s="519" t="s">
        <v>602</v>
      </c>
      <c r="B66" s="728" t="s">
        <v>358</v>
      </c>
      <c r="C66" s="728" t="s">
        <v>911</v>
      </c>
      <c r="D66" s="728" t="s">
        <v>708</v>
      </c>
      <c r="E66" s="728" t="s">
        <v>570</v>
      </c>
      <c r="F66" s="518"/>
      <c r="G66" s="518"/>
      <c r="H66" s="730">
        <f>H59+H16</f>
        <v>200</v>
      </c>
      <c r="I66" s="574">
        <f>SUM(I16:I64)</f>
        <v>0</v>
      </c>
    </row>
    <row r="67" spans="1:9">
      <c r="A67" s="742"/>
      <c r="B67" s="743"/>
      <c r="C67" s="743"/>
      <c r="D67" s="743"/>
      <c r="E67" s="743"/>
      <c r="F67" s="743"/>
      <c r="G67" s="743"/>
      <c r="H67" s="744"/>
    </row>
    <row r="68" spans="1:9">
      <c r="I68" s="721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92D050"/>
  </sheetPr>
  <dimension ref="A1:P16"/>
  <sheetViews>
    <sheetView workbookViewId="0">
      <selection activeCell="B9" sqref="B9:C9"/>
    </sheetView>
  </sheetViews>
  <sheetFormatPr defaultRowHeight="15"/>
  <cols>
    <col min="1" max="1" width="4" style="139" customWidth="1"/>
    <col min="2" max="2" width="10.5703125" style="139" customWidth="1"/>
    <col min="3" max="3" width="11.140625" style="139" customWidth="1"/>
    <col min="4" max="4" width="8.7109375" style="139" customWidth="1"/>
    <col min="5" max="5" width="8" style="139" customWidth="1"/>
    <col min="6" max="6" width="10.28515625" style="139" customWidth="1"/>
    <col min="7" max="8" width="6.5703125" style="139" customWidth="1"/>
    <col min="9" max="9" width="10.28515625" style="139" customWidth="1"/>
    <col min="10" max="10" width="11.7109375" style="139" customWidth="1"/>
    <col min="11" max="11" width="11.5703125" style="139" customWidth="1"/>
    <col min="12" max="12" width="9.140625" style="139"/>
    <col min="13" max="13" width="10.5703125" style="139" bestFit="1" customWidth="1"/>
    <col min="14" max="14" width="9.140625" style="139"/>
    <col min="15" max="15" width="12.140625" style="139" customWidth="1"/>
    <col min="16" max="16384" width="9.140625" style="139"/>
  </cols>
  <sheetData>
    <row r="1" spans="1:16">
      <c r="A1" s="988" t="s">
        <v>912</v>
      </c>
      <c r="B1" s="988"/>
      <c r="C1" s="988"/>
      <c r="D1" s="988"/>
      <c r="E1" s="988"/>
      <c r="F1" s="988"/>
      <c r="G1" s="988"/>
      <c r="H1" s="988"/>
      <c r="I1" s="988"/>
      <c r="J1" s="988"/>
      <c r="K1" s="149"/>
    </row>
    <row r="3" spans="1:16" ht="15.75">
      <c r="A3" s="1003" t="s">
        <v>609</v>
      </c>
      <c r="B3" s="1003"/>
      <c r="C3" s="1003"/>
      <c r="D3" s="1003"/>
      <c r="E3" s="1003"/>
      <c r="F3" s="1003"/>
      <c r="G3" s="1003"/>
      <c r="H3" s="1003"/>
      <c r="I3" s="1003"/>
      <c r="J3" s="1003"/>
      <c r="K3" s="187"/>
    </row>
    <row r="4" spans="1:16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  <c r="I4" s="1021"/>
      <c r="J4" s="1021"/>
      <c r="K4" s="188"/>
    </row>
    <row r="6" spans="1:16">
      <c r="A6" s="994" t="s">
        <v>913</v>
      </c>
      <c r="B6" s="994"/>
      <c r="C6" s="994"/>
      <c r="D6" s="994"/>
      <c r="E6" s="994"/>
      <c r="F6" s="994"/>
      <c r="G6" s="994"/>
      <c r="H6" s="994"/>
      <c r="I6" s="994"/>
      <c r="J6" s="994"/>
      <c r="K6" s="169"/>
    </row>
    <row r="7" spans="1:16" ht="24">
      <c r="A7" s="157" t="s">
        <v>483</v>
      </c>
      <c r="B7" s="1007" t="s">
        <v>715</v>
      </c>
      <c r="C7" s="1007"/>
      <c r="D7" s="155" t="s">
        <v>568</v>
      </c>
      <c r="E7" s="156" t="s">
        <v>614</v>
      </c>
      <c r="F7" s="157" t="s">
        <v>668</v>
      </c>
      <c r="G7" s="1026" t="s">
        <v>712</v>
      </c>
      <c r="H7" s="1027"/>
      <c r="I7" s="157" t="s">
        <v>690</v>
      </c>
      <c r="J7" s="157" t="s">
        <v>626</v>
      </c>
    </row>
    <row r="8" spans="1:16">
      <c r="A8" s="159">
        <v>1</v>
      </c>
      <c r="B8" s="1009">
        <v>2</v>
      </c>
      <c r="C8" s="1009"/>
      <c r="D8" s="159">
        <v>3</v>
      </c>
      <c r="E8" s="159">
        <v>4</v>
      </c>
      <c r="F8" s="159">
        <v>5</v>
      </c>
      <c r="G8" s="1017">
        <v>6</v>
      </c>
      <c r="H8" s="1018"/>
      <c r="I8" s="180">
        <v>7</v>
      </c>
      <c r="J8" s="160">
        <v>8</v>
      </c>
    </row>
    <row r="9" spans="1:16" ht="63.75" customHeight="1">
      <c r="A9" s="160">
        <v>1</v>
      </c>
      <c r="B9" s="1010" t="s">
        <v>917</v>
      </c>
      <c r="C9" s="1010"/>
      <c r="D9" s="157">
        <v>297</v>
      </c>
      <c r="E9" s="154"/>
      <c r="F9" s="157">
        <v>1</v>
      </c>
      <c r="G9" s="1019">
        <v>200000</v>
      </c>
      <c r="H9" s="1020"/>
      <c r="I9" s="548">
        <f>F9*G9</f>
        <v>200000</v>
      </c>
      <c r="J9" s="207">
        <f>ROUND(I9/1000,1)</f>
        <v>200</v>
      </c>
      <c r="K9" s="170"/>
      <c r="M9" s="171"/>
    </row>
    <row r="10" spans="1:16">
      <c r="A10" s="999" t="s">
        <v>914</v>
      </c>
      <c r="B10" s="1000"/>
      <c r="C10" s="1000"/>
      <c r="D10" s="1000"/>
      <c r="E10" s="1000"/>
      <c r="F10" s="1000"/>
      <c r="G10" s="1000"/>
      <c r="H10" s="1099"/>
      <c r="I10" s="694">
        <f>I9</f>
        <v>200000</v>
      </c>
      <c r="J10" s="259">
        <f>SUM(J9:J9)</f>
        <v>200</v>
      </c>
      <c r="M10" s="172"/>
    </row>
    <row r="11" spans="1:16">
      <c r="M11" s="172"/>
    </row>
    <row r="12" spans="1:16">
      <c r="M12" s="140"/>
      <c r="N12" s="140"/>
      <c r="O12" s="176"/>
      <c r="P12" s="174"/>
    </row>
    <row r="13" spans="1:16">
      <c r="B13" s="992" t="s">
        <v>621</v>
      </c>
      <c r="C13" s="992"/>
      <c r="D13" s="992"/>
      <c r="E13" s="162"/>
      <c r="F13" s="993"/>
      <c r="G13" s="993"/>
      <c r="H13" s="162"/>
      <c r="I13" s="993" t="str">
        <f ca="1">рВДЛ!G29</f>
        <v>М.В. Златова</v>
      </c>
      <c r="J13" s="993"/>
      <c r="M13" s="140"/>
      <c r="N13" s="140"/>
      <c r="O13" s="140"/>
      <c r="P13" s="140"/>
    </row>
    <row r="14" spans="1:16">
      <c r="B14" s="1001" t="s">
        <v>554</v>
      </c>
      <c r="C14" s="1001"/>
      <c r="D14" s="1001"/>
      <c r="E14" s="163"/>
      <c r="F14" s="1001" t="s">
        <v>555</v>
      </c>
      <c r="G14" s="1001"/>
      <c r="H14" s="163"/>
      <c r="I14" s="1002" t="s">
        <v>556</v>
      </c>
      <c r="J14" s="1002"/>
    </row>
    <row r="15" spans="1:16">
      <c r="B15" s="992" t="str">
        <f ca="1">рВДЛ!A31</f>
        <v>Исполнитель: финансист</v>
      </c>
      <c r="C15" s="992"/>
      <c r="D15" s="992"/>
      <c r="E15" s="162"/>
      <c r="F15" s="993"/>
      <c r="G15" s="993"/>
      <c r="H15" s="162"/>
      <c r="I15" s="993" t="str">
        <f ca="1">рВДЛ!G31</f>
        <v>Е.Н. Рыбалка</v>
      </c>
      <c r="J15" s="993"/>
    </row>
    <row r="16" spans="1:16">
      <c r="B16" s="1001" t="s">
        <v>554</v>
      </c>
      <c r="C16" s="1001"/>
      <c r="D16" s="1001"/>
      <c r="E16" s="163"/>
      <c r="F16" s="1001" t="s">
        <v>555</v>
      </c>
      <c r="G16" s="1001"/>
      <c r="H16" s="163"/>
      <c r="I16" s="1002" t="s">
        <v>556</v>
      </c>
      <c r="J16" s="1002"/>
    </row>
  </sheetData>
  <mergeCells count="23">
    <mergeCell ref="B16:D16"/>
    <mergeCell ref="F16:G16"/>
    <mergeCell ref="I16:J16"/>
    <mergeCell ref="B14:D14"/>
    <mergeCell ref="F14:G14"/>
    <mergeCell ref="I14:J14"/>
    <mergeCell ref="B15:D15"/>
    <mergeCell ref="F15:G15"/>
    <mergeCell ref="I15:J15"/>
    <mergeCell ref="I13:J13"/>
    <mergeCell ref="A1:J1"/>
    <mergeCell ref="A3:J3"/>
    <mergeCell ref="A4:J4"/>
    <mergeCell ref="A6:J6"/>
    <mergeCell ref="B7:C7"/>
    <mergeCell ref="G7:H7"/>
    <mergeCell ref="B8:C8"/>
    <mergeCell ref="G8:H8"/>
    <mergeCell ref="B9:C9"/>
    <mergeCell ref="G9:H9"/>
    <mergeCell ref="A10:H10"/>
    <mergeCell ref="B13:D13"/>
    <mergeCell ref="F13:G13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T174"/>
  <sheetViews>
    <sheetView tabSelected="1" workbookViewId="0">
      <selection activeCell="A4" sqref="A4:I4"/>
    </sheetView>
  </sheetViews>
  <sheetFormatPr defaultRowHeight="12.75"/>
  <cols>
    <col min="1" max="1" width="34.85546875" style="54" customWidth="1"/>
    <col min="2" max="4" width="4.7109375" style="54" customWidth="1"/>
    <col min="5" max="5" width="13.140625" style="54" customWidth="1"/>
    <col min="6" max="6" width="4.7109375" style="54" customWidth="1"/>
    <col min="7" max="7" width="11.28515625" style="55" customWidth="1"/>
    <col min="8" max="9" width="9.85546875" style="54" customWidth="1"/>
    <col min="10" max="10" width="11.7109375" style="553" customWidth="1"/>
    <col min="11" max="11" width="17.85546875" style="562" customWidth="1"/>
    <col min="12" max="12" width="17.85546875" style="58" customWidth="1"/>
    <col min="13" max="13" width="17.85546875" style="54" customWidth="1"/>
    <col min="14" max="14" width="9.28515625" style="54" bestFit="1" customWidth="1"/>
    <col min="15" max="16" width="9.140625" style="54"/>
    <col min="17" max="17" width="9.5703125" style="54" bestFit="1" customWidth="1"/>
    <col min="18" max="18" width="10.85546875" style="54" bestFit="1" customWidth="1"/>
    <col min="19" max="19" width="11.42578125" style="54" customWidth="1"/>
    <col min="20" max="16384" width="9.140625" style="54"/>
  </cols>
  <sheetData>
    <row r="1" spans="1:19" ht="25.5" customHeight="1">
      <c r="G1" s="909" t="str">
        <f ca="1">Доходы!C1</f>
        <v>К проекту среднесрочного финансового плана</v>
      </c>
      <c r="H1" s="909"/>
      <c r="I1" s="909"/>
      <c r="K1" s="557"/>
      <c r="L1" s="785"/>
    </row>
    <row r="2" spans="1:19" ht="6.75" customHeight="1">
      <c r="G2" s="843"/>
      <c r="H2" s="843"/>
      <c r="I2" s="843"/>
      <c r="K2" s="557"/>
      <c r="L2" s="785"/>
    </row>
    <row r="3" spans="1:19" ht="6.75" customHeight="1">
      <c r="A3" s="56"/>
      <c r="B3" s="56"/>
      <c r="C3" s="56"/>
      <c r="D3" s="56"/>
      <c r="E3" s="56"/>
      <c r="F3" s="56"/>
      <c r="G3" s="830"/>
      <c r="K3" s="557"/>
      <c r="L3" s="785"/>
    </row>
    <row r="4" spans="1:19" ht="69.75" customHeight="1">
      <c r="A4" s="910" t="s">
        <v>0</v>
      </c>
      <c r="B4" s="910"/>
      <c r="C4" s="910"/>
      <c r="D4" s="910"/>
      <c r="E4" s="910"/>
      <c r="F4" s="910"/>
      <c r="G4" s="910"/>
      <c r="H4" s="910"/>
      <c r="I4" s="910"/>
      <c r="J4" s="551"/>
      <c r="K4" s="557"/>
      <c r="L4" s="785"/>
    </row>
    <row r="5" spans="1:19" ht="18.75" customHeight="1">
      <c r="A5" s="910" t="str">
        <f ca="1">Доходы!A3</f>
        <v>на 2021 год и плановый период 2022-2023 годов</v>
      </c>
      <c r="B5" s="910"/>
      <c r="C5" s="910"/>
      <c r="D5" s="910"/>
      <c r="E5" s="910"/>
      <c r="F5" s="910"/>
      <c r="G5" s="910"/>
      <c r="H5" s="910"/>
      <c r="I5" s="910"/>
      <c r="J5" s="552"/>
      <c r="K5" s="557"/>
      <c r="L5" s="785"/>
      <c r="R5" s="550"/>
      <c r="S5" s="550"/>
    </row>
    <row r="6" spans="1:19" ht="13.5" customHeight="1">
      <c r="A6" s="911" t="str">
        <f ca="1">Доходы!A4</f>
        <v>Единица измерения: тыс. руб.</v>
      </c>
      <c r="B6" s="911"/>
      <c r="C6" s="911"/>
      <c r="D6" s="911"/>
      <c r="E6" s="911"/>
      <c r="F6" s="911"/>
      <c r="G6" s="911"/>
      <c r="H6" s="911"/>
      <c r="I6" s="911"/>
      <c r="J6" s="554"/>
      <c r="K6" s="557"/>
      <c r="L6" s="785"/>
      <c r="R6" s="57"/>
      <c r="S6" s="57"/>
    </row>
    <row r="7" spans="1:19" ht="28.5" customHeight="1">
      <c r="A7" s="913" t="s">
        <v>349</v>
      </c>
      <c r="B7" s="906" t="s">
        <v>350</v>
      </c>
      <c r="C7" s="905" t="s">
        <v>351</v>
      </c>
      <c r="D7" s="906" t="s">
        <v>352</v>
      </c>
      <c r="E7" s="907" t="s">
        <v>353</v>
      </c>
      <c r="F7" s="906" t="s">
        <v>354</v>
      </c>
      <c r="G7" s="912" t="str">
        <f ca="1">Доходы!C5</f>
        <v>Очередной 
финансовый
2021 год</v>
      </c>
      <c r="H7" s="903" t="s">
        <v>261</v>
      </c>
      <c r="I7" s="903"/>
      <c r="J7" s="563"/>
      <c r="K7" s="557"/>
      <c r="L7" s="785"/>
      <c r="R7" s="58"/>
      <c r="S7" s="58"/>
    </row>
    <row r="8" spans="1:19" ht="28.5" customHeight="1">
      <c r="A8" s="913"/>
      <c r="B8" s="906"/>
      <c r="C8" s="905"/>
      <c r="D8" s="906"/>
      <c r="E8" s="907"/>
      <c r="F8" s="906"/>
      <c r="G8" s="912"/>
      <c r="H8" s="59" t="str">
        <f ca="1">Доходы!D6</f>
        <v>1-й год, 2022 год</v>
      </c>
      <c r="I8" s="59" t="str">
        <f ca="1">Доходы!E6</f>
        <v>2-й год, 2023 год</v>
      </c>
      <c r="J8" s="563"/>
      <c r="K8" s="559"/>
      <c r="L8" s="785"/>
      <c r="S8" s="58"/>
    </row>
    <row r="9" spans="1:19" ht="18.75">
      <c r="A9" s="884" t="s">
        <v>355</v>
      </c>
      <c r="B9" s="60"/>
      <c r="C9" s="60"/>
      <c r="D9" s="61"/>
      <c r="E9" s="61"/>
      <c r="F9" s="61"/>
      <c r="G9" s="472">
        <f>G10</f>
        <v>34318.700000000004</v>
      </c>
      <c r="H9" s="472">
        <f>H10</f>
        <v>29731.8</v>
      </c>
      <c r="I9" s="472">
        <f>I10</f>
        <v>27663.9</v>
      </c>
      <c r="J9" s="587"/>
      <c r="K9" s="608"/>
      <c r="L9" s="785"/>
      <c r="M9" s="62"/>
      <c r="N9" s="58"/>
      <c r="R9" s="63"/>
      <c r="S9" s="58"/>
    </row>
    <row r="10" spans="1:19" ht="38.25">
      <c r="A10" s="64" t="s">
        <v>356</v>
      </c>
      <c r="B10" s="65">
        <v>220</v>
      </c>
      <c r="C10" s="66"/>
      <c r="D10" s="66"/>
      <c r="E10" s="66"/>
      <c r="F10" s="66"/>
      <c r="G10" s="473">
        <f>G11+G61+G66+G79+G94+G123</f>
        <v>34318.700000000004</v>
      </c>
      <c r="H10" s="473">
        <f>H11+H61+H66+H79+H94+H123</f>
        <v>29731.8</v>
      </c>
      <c r="I10" s="473">
        <f>I11+I61+I66+I79+I94+I123</f>
        <v>27663.9</v>
      </c>
      <c r="J10" s="564"/>
      <c r="K10" s="608"/>
      <c r="L10" s="873"/>
      <c r="M10" s="67"/>
      <c r="N10" s="67"/>
    </row>
    <row r="11" spans="1:19" ht="15">
      <c r="A11" s="68" t="s">
        <v>357</v>
      </c>
      <c r="B11" s="69">
        <v>220</v>
      </c>
      <c r="C11" s="70" t="s">
        <v>358</v>
      </c>
      <c r="D11" s="70"/>
      <c r="E11" s="70"/>
      <c r="F11" s="70"/>
      <c r="G11" s="71">
        <f>G12+G16+G21+G31+G35+G39+G43</f>
        <v>19063.400000000001</v>
      </c>
      <c r="H11" s="71">
        <f>H12+H16+H21+H31+H35+H39+H43</f>
        <v>19237.7</v>
      </c>
      <c r="I11" s="71">
        <f>I12+I16+I21+I31+I35+I39+I43</f>
        <v>19243.099999999999</v>
      </c>
      <c r="J11" s="564"/>
      <c r="K11" s="608"/>
      <c r="L11" s="785"/>
      <c r="M11" s="58"/>
    </row>
    <row r="12" spans="1:19" ht="51">
      <c r="A12" s="64" t="s">
        <v>359</v>
      </c>
      <c r="B12" s="72">
        <v>220</v>
      </c>
      <c r="C12" s="73" t="s">
        <v>358</v>
      </c>
      <c r="D12" s="73" t="s">
        <v>360</v>
      </c>
      <c r="E12" s="73"/>
      <c r="F12" s="73"/>
      <c r="G12" s="20">
        <f>G13</f>
        <v>2962.2999999999997</v>
      </c>
      <c r="H12" s="20">
        <f>H13</f>
        <v>2962.2999999999997</v>
      </c>
      <c r="I12" s="20">
        <f>I13</f>
        <v>2962.2999999999997</v>
      </c>
      <c r="J12" s="564"/>
      <c r="K12" s="557"/>
      <c r="L12" s="785"/>
      <c r="M12" s="58"/>
      <c r="N12" s="74"/>
    </row>
    <row r="13" spans="1:19">
      <c r="A13" s="44" t="s">
        <v>361</v>
      </c>
      <c r="B13" s="61">
        <v>220</v>
      </c>
      <c r="C13" s="75" t="s">
        <v>358</v>
      </c>
      <c r="D13" s="75" t="s">
        <v>360</v>
      </c>
      <c r="E13" s="75" t="s">
        <v>362</v>
      </c>
      <c r="F13" s="75"/>
      <c r="G13" s="11">
        <f>G15</f>
        <v>2962.2999999999997</v>
      </c>
      <c r="H13" s="11">
        <f>H15</f>
        <v>2962.2999999999997</v>
      </c>
      <c r="I13" s="11">
        <f>I15</f>
        <v>2962.2999999999997</v>
      </c>
      <c r="J13" s="564"/>
      <c r="K13" s="557"/>
      <c r="L13" s="785"/>
      <c r="M13" s="58"/>
      <c r="N13" s="74"/>
    </row>
    <row r="14" spans="1:19" ht="38.25">
      <c r="A14" s="44" t="s">
        <v>363</v>
      </c>
      <c r="B14" s="61">
        <v>220</v>
      </c>
      <c r="C14" s="75" t="s">
        <v>358</v>
      </c>
      <c r="D14" s="75" t="s">
        <v>360</v>
      </c>
      <c r="E14" s="75" t="s">
        <v>364</v>
      </c>
      <c r="F14" s="75"/>
      <c r="G14" s="11">
        <f>G15</f>
        <v>2962.2999999999997</v>
      </c>
      <c r="H14" s="11">
        <f>H15</f>
        <v>2962.2999999999997</v>
      </c>
      <c r="I14" s="11">
        <f>I15</f>
        <v>2962.2999999999997</v>
      </c>
      <c r="J14" s="586"/>
      <c r="K14" s="557"/>
      <c r="L14" s="785"/>
      <c r="M14" s="58"/>
      <c r="N14" s="76"/>
    </row>
    <row r="15" spans="1:19" ht="89.25">
      <c r="A15" s="44" t="s">
        <v>365</v>
      </c>
      <c r="B15" s="61">
        <v>220</v>
      </c>
      <c r="C15" s="75" t="s">
        <v>358</v>
      </c>
      <c r="D15" s="75" t="s">
        <v>360</v>
      </c>
      <c r="E15" s="75" t="s">
        <v>364</v>
      </c>
      <c r="F15" s="75" t="s">
        <v>366</v>
      </c>
      <c r="G15" s="11">
        <f ca="1">сВДЛ!H65</f>
        <v>2962.2999999999997</v>
      </c>
      <c r="H15" s="11">
        <f>G15</f>
        <v>2962.2999999999997</v>
      </c>
      <c r="I15" s="11">
        <f>G15</f>
        <v>2962.2999999999997</v>
      </c>
      <c r="J15" s="564"/>
      <c r="K15" s="839"/>
      <c r="L15" s="785"/>
      <c r="N15" s="55"/>
      <c r="O15" s="55"/>
      <c r="P15" s="55"/>
    </row>
    <row r="16" spans="1:19" ht="63.75">
      <c r="A16" s="64" t="s">
        <v>367</v>
      </c>
      <c r="B16" s="72">
        <v>220</v>
      </c>
      <c r="C16" s="73" t="s">
        <v>358</v>
      </c>
      <c r="D16" s="73" t="s">
        <v>368</v>
      </c>
      <c r="E16" s="73"/>
      <c r="F16" s="73"/>
      <c r="G16" s="20">
        <f t="shared" ref="G16:I17" si="0">G17</f>
        <v>10</v>
      </c>
      <c r="H16" s="20">
        <f t="shared" si="0"/>
        <v>10</v>
      </c>
      <c r="I16" s="20">
        <f t="shared" si="0"/>
        <v>10</v>
      </c>
      <c r="J16" s="564"/>
      <c r="K16" s="557"/>
      <c r="L16" s="785"/>
      <c r="M16" s="55"/>
      <c r="N16" s="55"/>
      <c r="O16" s="55"/>
      <c r="P16" s="55"/>
    </row>
    <row r="17" spans="1:16" ht="25.5">
      <c r="A17" s="44" t="s">
        <v>369</v>
      </c>
      <c r="B17" s="61">
        <v>220</v>
      </c>
      <c r="C17" s="75" t="s">
        <v>358</v>
      </c>
      <c r="D17" s="75" t="s">
        <v>368</v>
      </c>
      <c r="E17" s="75" t="s">
        <v>370</v>
      </c>
      <c r="F17" s="75"/>
      <c r="G17" s="11">
        <f t="shared" si="0"/>
        <v>10</v>
      </c>
      <c r="H17" s="11">
        <f t="shared" si="0"/>
        <v>10</v>
      </c>
      <c r="I17" s="11">
        <f t="shared" si="0"/>
        <v>10</v>
      </c>
      <c r="J17" s="564"/>
      <c r="K17" s="557"/>
      <c r="L17" s="785"/>
      <c r="M17" s="55"/>
      <c r="N17" s="55"/>
      <c r="O17" s="55"/>
      <c r="P17" s="55"/>
    </row>
    <row r="18" spans="1:16">
      <c r="A18" s="44" t="s">
        <v>371</v>
      </c>
      <c r="B18" s="61">
        <v>220</v>
      </c>
      <c r="C18" s="75" t="s">
        <v>358</v>
      </c>
      <c r="D18" s="75" t="s">
        <v>368</v>
      </c>
      <c r="E18" s="75" t="s">
        <v>372</v>
      </c>
      <c r="F18" s="75"/>
      <c r="G18" s="11">
        <f t="shared" ref="G18:I19" si="1">G19</f>
        <v>10</v>
      </c>
      <c r="H18" s="11">
        <f t="shared" si="1"/>
        <v>10</v>
      </c>
      <c r="I18" s="11">
        <f t="shared" si="1"/>
        <v>10</v>
      </c>
      <c r="J18" s="564"/>
      <c r="K18" s="557"/>
      <c r="L18" s="785"/>
      <c r="M18" s="55"/>
      <c r="N18" s="55"/>
      <c r="O18" s="55"/>
      <c r="P18" s="55"/>
    </row>
    <row r="19" spans="1:16" ht="38.25">
      <c r="A19" s="44" t="s">
        <v>363</v>
      </c>
      <c r="B19" s="61">
        <v>220</v>
      </c>
      <c r="C19" s="75" t="s">
        <v>358</v>
      </c>
      <c r="D19" s="75" t="s">
        <v>368</v>
      </c>
      <c r="E19" s="75" t="s">
        <v>373</v>
      </c>
      <c r="F19" s="75"/>
      <c r="G19" s="11">
        <f t="shared" si="1"/>
        <v>10</v>
      </c>
      <c r="H19" s="11">
        <f t="shared" si="1"/>
        <v>10</v>
      </c>
      <c r="I19" s="11">
        <f t="shared" si="1"/>
        <v>10</v>
      </c>
      <c r="J19" s="564"/>
      <c r="K19" s="557"/>
      <c r="L19" s="785"/>
      <c r="M19" s="55"/>
      <c r="N19" s="55"/>
      <c r="O19" s="55"/>
      <c r="P19" s="55"/>
    </row>
    <row r="20" spans="1:16" ht="38.25">
      <c r="A20" s="17" t="s">
        <v>374</v>
      </c>
      <c r="B20" s="61">
        <v>220</v>
      </c>
      <c r="C20" s="75" t="s">
        <v>358</v>
      </c>
      <c r="D20" s="75" t="s">
        <v>368</v>
      </c>
      <c r="E20" s="75" t="s">
        <v>373</v>
      </c>
      <c r="F20" s="75" t="s">
        <v>375</v>
      </c>
      <c r="G20" s="11">
        <f ca="1">сДеп!H65</f>
        <v>10</v>
      </c>
      <c r="H20" s="11">
        <f>G20</f>
        <v>10</v>
      </c>
      <c r="I20" s="11">
        <f>H20</f>
        <v>10</v>
      </c>
      <c r="J20" s="564"/>
      <c r="K20" s="557"/>
      <c r="L20" s="785"/>
      <c r="N20" s="55"/>
      <c r="O20" s="55"/>
      <c r="P20" s="55"/>
    </row>
    <row r="21" spans="1:16" ht="76.5">
      <c r="A21" s="64" t="s">
        <v>376</v>
      </c>
      <c r="B21" s="72">
        <v>220</v>
      </c>
      <c r="C21" s="73" t="s">
        <v>358</v>
      </c>
      <c r="D21" s="73" t="s">
        <v>377</v>
      </c>
      <c r="E21" s="73"/>
      <c r="F21" s="73"/>
      <c r="G21" s="20">
        <f>G22+G26</f>
        <v>14211.4</v>
      </c>
      <c r="H21" s="20">
        <f>H22+H26</f>
        <v>14424.8</v>
      </c>
      <c r="I21" s="20">
        <f>I22+I26</f>
        <v>14629.299999999997</v>
      </c>
      <c r="J21" s="564"/>
      <c r="K21" s="558"/>
      <c r="L21" s="785"/>
      <c r="M21" s="55"/>
      <c r="N21" s="55"/>
      <c r="O21" s="55"/>
      <c r="P21" s="55"/>
    </row>
    <row r="22" spans="1:16" ht="63.75">
      <c r="A22" s="44" t="s">
        <v>210</v>
      </c>
      <c r="B22" s="61">
        <v>220</v>
      </c>
      <c r="C22" s="75" t="s">
        <v>358</v>
      </c>
      <c r="D22" s="75" t="s">
        <v>377</v>
      </c>
      <c r="E22" s="75" t="s">
        <v>378</v>
      </c>
      <c r="F22" s="75"/>
      <c r="G22" s="11">
        <f>G23</f>
        <v>3035.1</v>
      </c>
      <c r="H22" s="11">
        <f t="shared" ref="H22:I24" si="2">H23</f>
        <v>3184.7000000000003</v>
      </c>
      <c r="I22" s="11">
        <f t="shared" si="2"/>
        <v>3322.9</v>
      </c>
      <c r="J22" s="564"/>
      <c r="K22" s="557"/>
      <c r="L22" s="785"/>
      <c r="M22" s="55"/>
      <c r="N22" s="55"/>
      <c r="O22" s="55"/>
      <c r="P22" s="55"/>
    </row>
    <row r="23" spans="1:16" ht="51">
      <c r="A23" s="44" t="s">
        <v>379</v>
      </c>
      <c r="B23" s="61">
        <v>220</v>
      </c>
      <c r="C23" s="75" t="s">
        <v>358</v>
      </c>
      <c r="D23" s="75" t="s">
        <v>377</v>
      </c>
      <c r="E23" s="75" t="s">
        <v>380</v>
      </c>
      <c r="F23" s="75"/>
      <c r="G23" s="11">
        <f>G24</f>
        <v>3035.1</v>
      </c>
      <c r="H23" s="11">
        <f t="shared" si="2"/>
        <v>3184.7000000000003</v>
      </c>
      <c r="I23" s="11">
        <f t="shared" si="2"/>
        <v>3322.9</v>
      </c>
      <c r="J23" s="564"/>
      <c r="K23" s="557"/>
      <c r="L23" s="785"/>
      <c r="M23" s="55"/>
      <c r="N23" s="55"/>
      <c r="O23" s="55"/>
      <c r="P23" s="55"/>
    </row>
    <row r="24" spans="1:16" ht="89.25">
      <c r="A24" s="44" t="s">
        <v>211</v>
      </c>
      <c r="B24" s="61">
        <v>220</v>
      </c>
      <c r="C24" s="75" t="s">
        <v>358</v>
      </c>
      <c r="D24" s="75" t="s">
        <v>377</v>
      </c>
      <c r="E24" s="75" t="s">
        <v>197</v>
      </c>
      <c r="F24" s="75"/>
      <c r="G24" s="11">
        <f>G25</f>
        <v>3035.1</v>
      </c>
      <c r="H24" s="11">
        <f t="shared" si="2"/>
        <v>3184.7000000000003</v>
      </c>
      <c r="I24" s="11">
        <f t="shared" si="2"/>
        <v>3322.9</v>
      </c>
      <c r="J24" s="564"/>
      <c r="K24" s="557"/>
      <c r="L24" s="785"/>
      <c r="M24" s="55"/>
      <c r="N24" s="55"/>
      <c r="O24" s="55"/>
      <c r="P24" s="55"/>
    </row>
    <row r="25" spans="1:16" ht="38.25">
      <c r="A25" s="17" t="s">
        <v>374</v>
      </c>
      <c r="B25" s="61">
        <v>220</v>
      </c>
      <c r="C25" s="75" t="s">
        <v>358</v>
      </c>
      <c r="D25" s="75" t="s">
        <v>377</v>
      </c>
      <c r="E25" s="75" t="s">
        <v>197</v>
      </c>
      <c r="F25" s="75" t="s">
        <v>375</v>
      </c>
      <c r="G25" s="11">
        <f ca="1">сКомУсл!H66</f>
        <v>3035.1</v>
      </c>
      <c r="H25" s="11">
        <f ca="1">Доходы!D81-H50</f>
        <v>3184.7000000000003</v>
      </c>
      <c r="I25" s="11">
        <f ca="1">Доходы!E81-I50</f>
        <v>3322.9</v>
      </c>
      <c r="J25" s="844"/>
      <c r="K25" s="557"/>
      <c r="L25" s="785"/>
      <c r="N25" s="55"/>
      <c r="O25" s="55"/>
      <c r="P25" s="55"/>
    </row>
    <row r="26" spans="1:16">
      <c r="A26" s="44" t="s">
        <v>382</v>
      </c>
      <c r="B26" s="61">
        <v>220</v>
      </c>
      <c r="C26" s="75" t="s">
        <v>358</v>
      </c>
      <c r="D26" s="75" t="s">
        <v>377</v>
      </c>
      <c r="E26" s="75" t="s">
        <v>383</v>
      </c>
      <c r="F26" s="75"/>
      <c r="G26" s="11">
        <f>G27</f>
        <v>11176.3</v>
      </c>
      <c r="H26" s="11">
        <f>H27</f>
        <v>11240.099999999999</v>
      </c>
      <c r="I26" s="11">
        <f>I27</f>
        <v>11306.399999999998</v>
      </c>
      <c r="J26" s="564"/>
      <c r="K26" s="557"/>
      <c r="L26" s="785"/>
      <c r="M26" s="55"/>
      <c r="N26" s="55"/>
      <c r="O26" s="55"/>
      <c r="P26" s="55"/>
    </row>
    <row r="27" spans="1:16" ht="38.25">
      <c r="A27" s="44" t="s">
        <v>363</v>
      </c>
      <c r="B27" s="61">
        <v>220</v>
      </c>
      <c r="C27" s="75" t="s">
        <v>358</v>
      </c>
      <c r="D27" s="75" t="s">
        <v>377</v>
      </c>
      <c r="E27" s="75" t="s">
        <v>384</v>
      </c>
      <c r="F27" s="75"/>
      <c r="G27" s="11">
        <f>G29+G28+G30</f>
        <v>11176.3</v>
      </c>
      <c r="H27" s="11">
        <f>H29+H28+H30</f>
        <v>11240.099999999999</v>
      </c>
      <c r="I27" s="11">
        <f>I29+I28+I30</f>
        <v>11306.399999999998</v>
      </c>
      <c r="J27" s="564"/>
      <c r="K27" s="557"/>
      <c r="L27" s="785"/>
      <c r="M27" s="77"/>
      <c r="N27" s="55"/>
      <c r="O27" s="55"/>
      <c r="P27" s="55"/>
    </row>
    <row r="28" spans="1:16" ht="86.25" customHeight="1">
      <c r="A28" s="44" t="s">
        <v>365</v>
      </c>
      <c r="B28" s="61">
        <v>220</v>
      </c>
      <c r="C28" s="75" t="s">
        <v>358</v>
      </c>
      <c r="D28" s="75" t="s">
        <v>377</v>
      </c>
      <c r="E28" s="75" t="s">
        <v>384</v>
      </c>
      <c r="F28" s="75" t="s">
        <v>366</v>
      </c>
      <c r="G28" s="11">
        <f ca="1">сЗП!H65</f>
        <v>9417.0999999999985</v>
      </c>
      <c r="H28" s="11">
        <f>G28</f>
        <v>9417.0999999999985</v>
      </c>
      <c r="I28" s="11">
        <f>G28</f>
        <v>9417.0999999999985</v>
      </c>
      <c r="J28" s="564"/>
      <c r="K28" s="45"/>
      <c r="L28" s="874"/>
      <c r="N28" s="45"/>
      <c r="O28" s="45"/>
      <c r="P28" s="45"/>
    </row>
    <row r="29" spans="1:16" ht="38.25">
      <c r="A29" s="17" t="s">
        <v>374</v>
      </c>
      <c r="B29" s="61">
        <v>220</v>
      </c>
      <c r="C29" s="75" t="s">
        <v>358</v>
      </c>
      <c r="D29" s="75" t="s">
        <v>377</v>
      </c>
      <c r="E29" s="75" t="s">
        <v>384</v>
      </c>
      <c r="F29" s="75" t="s">
        <v>375</v>
      </c>
      <c r="G29" s="11">
        <f ca="1">сАУП!H65</f>
        <v>1594.2</v>
      </c>
      <c r="H29" s="11">
        <f>ROUND((G29*1.04),1)</f>
        <v>1658</v>
      </c>
      <c r="I29" s="11">
        <f>ROUND((H29*1.04),1)</f>
        <v>1724.3</v>
      </c>
      <c r="J29" s="564"/>
      <c r="K29" s="45"/>
      <c r="L29" s="874"/>
      <c r="M29" s="58"/>
      <c r="N29" s="45"/>
      <c r="O29" s="45"/>
      <c r="P29" s="45"/>
    </row>
    <row r="30" spans="1:16">
      <c r="A30" s="44" t="s">
        <v>385</v>
      </c>
      <c r="B30" s="61">
        <v>220</v>
      </c>
      <c r="C30" s="75" t="s">
        <v>358</v>
      </c>
      <c r="D30" s="75" t="s">
        <v>377</v>
      </c>
      <c r="E30" s="75" t="s">
        <v>384</v>
      </c>
      <c r="F30" s="75" t="s">
        <v>386</v>
      </c>
      <c r="G30" s="11">
        <f ca="1">сАУП!H66</f>
        <v>165</v>
      </c>
      <c r="H30" s="11">
        <f>G30</f>
        <v>165</v>
      </c>
      <c r="I30" s="11">
        <f>G30</f>
        <v>165</v>
      </c>
      <c r="J30" s="586"/>
      <c r="K30" s="872"/>
      <c r="L30" s="875"/>
      <c r="N30" s="872"/>
      <c r="O30" s="872"/>
      <c r="P30" s="872"/>
    </row>
    <row r="31" spans="1:16" ht="51">
      <c r="A31" s="64" t="s">
        <v>387</v>
      </c>
      <c r="B31" s="72">
        <v>220</v>
      </c>
      <c r="C31" s="73" t="s">
        <v>358</v>
      </c>
      <c r="D31" s="73" t="s">
        <v>388</v>
      </c>
      <c r="E31" s="75"/>
      <c r="F31" s="75"/>
      <c r="G31" s="20">
        <f>G32</f>
        <v>483.4</v>
      </c>
      <c r="H31" s="20">
        <f t="shared" ref="H31:I33" si="3">H32</f>
        <v>483.4</v>
      </c>
      <c r="I31" s="20">
        <f t="shared" si="3"/>
        <v>483.4</v>
      </c>
      <c r="J31" s="564"/>
      <c r="K31" s="557"/>
      <c r="L31" s="785"/>
      <c r="M31" s="55"/>
      <c r="N31" s="55"/>
      <c r="O31" s="55"/>
      <c r="P31" s="55"/>
    </row>
    <row r="32" spans="1:16">
      <c r="A32" s="44" t="s">
        <v>389</v>
      </c>
      <c r="B32" s="61">
        <v>220</v>
      </c>
      <c r="C32" s="75" t="s">
        <v>358</v>
      </c>
      <c r="D32" s="75" t="s">
        <v>388</v>
      </c>
      <c r="E32" s="75" t="s">
        <v>390</v>
      </c>
      <c r="F32" s="75"/>
      <c r="G32" s="11">
        <f>G33</f>
        <v>483.4</v>
      </c>
      <c r="H32" s="11">
        <f t="shared" si="3"/>
        <v>483.4</v>
      </c>
      <c r="I32" s="11">
        <f t="shared" si="3"/>
        <v>483.4</v>
      </c>
      <c r="J32" s="564"/>
      <c r="K32" s="557"/>
      <c r="L32" s="785"/>
      <c r="M32" s="55"/>
      <c r="N32" s="55"/>
      <c r="O32" s="55"/>
      <c r="P32" s="55"/>
    </row>
    <row r="33" spans="1:16" ht="102">
      <c r="A33" s="44" t="s">
        <v>212</v>
      </c>
      <c r="B33" s="61">
        <v>220</v>
      </c>
      <c r="C33" s="75" t="s">
        <v>358</v>
      </c>
      <c r="D33" s="75" t="s">
        <v>388</v>
      </c>
      <c r="E33" s="75" t="s">
        <v>391</v>
      </c>
      <c r="F33" s="75"/>
      <c r="G33" s="11">
        <f>G34</f>
        <v>483.4</v>
      </c>
      <c r="H33" s="11">
        <f t="shared" si="3"/>
        <v>483.4</v>
      </c>
      <c r="I33" s="11">
        <f>H33</f>
        <v>483.4</v>
      </c>
      <c r="J33" s="565"/>
      <c r="K33" s="557"/>
      <c r="L33" s="785"/>
      <c r="M33" s="55"/>
      <c r="N33" s="55"/>
      <c r="O33" s="55"/>
      <c r="P33" s="55"/>
    </row>
    <row r="34" spans="1:16">
      <c r="A34" s="44" t="s">
        <v>392</v>
      </c>
      <c r="B34" s="61">
        <v>220</v>
      </c>
      <c r="C34" s="75" t="s">
        <v>358</v>
      </c>
      <c r="D34" s="75" t="s">
        <v>388</v>
      </c>
      <c r="E34" s="75" t="s">
        <v>391</v>
      </c>
      <c r="F34" s="75" t="s">
        <v>393</v>
      </c>
      <c r="G34" s="11">
        <f ca="1">сКСП!H65</f>
        <v>483.4</v>
      </c>
      <c r="H34" s="11">
        <f>G34</f>
        <v>483.4</v>
      </c>
      <c r="I34" s="11">
        <f>G34</f>
        <v>483.4</v>
      </c>
      <c r="J34" s="564"/>
      <c r="K34" s="557"/>
      <c r="L34" s="785"/>
      <c r="N34" s="55"/>
      <c r="O34" s="55"/>
      <c r="P34" s="55"/>
    </row>
    <row r="35" spans="1:16" ht="25.5">
      <c r="A35" s="64" t="s">
        <v>912</v>
      </c>
      <c r="B35" s="72">
        <v>220</v>
      </c>
      <c r="C35" s="73" t="s">
        <v>358</v>
      </c>
      <c r="D35" s="73" t="s">
        <v>911</v>
      </c>
      <c r="E35" s="73"/>
      <c r="F35" s="73"/>
      <c r="G35" s="20">
        <f>G36</f>
        <v>200</v>
      </c>
      <c r="H35" s="20">
        <f t="shared" ref="H35:I37" si="4">H36</f>
        <v>200</v>
      </c>
      <c r="I35" s="20">
        <f t="shared" si="4"/>
        <v>0</v>
      </c>
      <c r="J35" s="564"/>
      <c r="K35" s="557"/>
      <c r="L35" s="785"/>
      <c r="M35" s="55"/>
      <c r="N35" s="55"/>
      <c r="O35" s="55"/>
      <c r="P35" s="55"/>
    </row>
    <row r="36" spans="1:16">
      <c r="A36" s="44" t="s">
        <v>389</v>
      </c>
      <c r="B36" s="61">
        <v>220</v>
      </c>
      <c r="C36" s="75" t="s">
        <v>358</v>
      </c>
      <c r="D36" s="75" t="s">
        <v>911</v>
      </c>
      <c r="E36" s="75" t="s">
        <v>390</v>
      </c>
      <c r="F36" s="75"/>
      <c r="G36" s="11">
        <f>G37</f>
        <v>200</v>
      </c>
      <c r="H36" s="11">
        <f t="shared" si="4"/>
        <v>200</v>
      </c>
      <c r="I36" s="11">
        <f t="shared" si="4"/>
        <v>0</v>
      </c>
      <c r="J36" s="564"/>
      <c r="K36" s="557"/>
      <c r="L36" s="785"/>
      <c r="M36" s="55"/>
      <c r="N36" s="55"/>
      <c r="O36" s="55"/>
      <c r="P36" s="55"/>
    </row>
    <row r="37" spans="1:16" ht="63.75">
      <c r="A37" s="44" t="s">
        <v>918</v>
      </c>
      <c r="B37" s="61">
        <v>220</v>
      </c>
      <c r="C37" s="75" t="s">
        <v>358</v>
      </c>
      <c r="D37" s="75" t="s">
        <v>911</v>
      </c>
      <c r="E37" s="75" t="s">
        <v>916</v>
      </c>
      <c r="F37" s="75"/>
      <c r="G37" s="11">
        <f>G38</f>
        <v>200</v>
      </c>
      <c r="H37" s="11">
        <f t="shared" si="4"/>
        <v>200</v>
      </c>
      <c r="I37" s="11">
        <f t="shared" si="4"/>
        <v>0</v>
      </c>
      <c r="J37" s="564"/>
      <c r="K37" s="557"/>
      <c r="L37" s="785"/>
      <c r="M37" s="55"/>
      <c r="N37" s="55"/>
      <c r="O37" s="55"/>
      <c r="P37" s="55"/>
    </row>
    <row r="38" spans="1:16">
      <c r="A38" s="44" t="s">
        <v>385</v>
      </c>
      <c r="B38" s="61">
        <v>220</v>
      </c>
      <c r="C38" s="75" t="s">
        <v>358</v>
      </c>
      <c r="D38" s="75" t="s">
        <v>911</v>
      </c>
      <c r="E38" s="75" t="s">
        <v>916</v>
      </c>
      <c r="F38" s="75" t="s">
        <v>386</v>
      </c>
      <c r="G38" s="11">
        <f ca="1">сВыборы!H65</f>
        <v>200</v>
      </c>
      <c r="H38" s="866">
        <f ca="1">Доходы!D83</f>
        <v>200</v>
      </c>
      <c r="I38" s="11">
        <f ca="1">Доходы!E83</f>
        <v>0</v>
      </c>
      <c r="J38" s="564"/>
      <c r="K38" s="839"/>
      <c r="L38" s="785"/>
      <c r="N38" s="55"/>
      <c r="O38" s="55"/>
      <c r="P38" s="55"/>
    </row>
    <row r="39" spans="1:16">
      <c r="A39" s="64" t="s">
        <v>394</v>
      </c>
      <c r="B39" s="72">
        <v>220</v>
      </c>
      <c r="C39" s="73" t="s">
        <v>358</v>
      </c>
      <c r="D39" s="73" t="s">
        <v>395</v>
      </c>
      <c r="E39" s="73"/>
      <c r="F39" s="73"/>
      <c r="G39" s="20">
        <f t="shared" ref="G39:I40" si="5">G41</f>
        <v>10</v>
      </c>
      <c r="H39" s="20">
        <f t="shared" si="5"/>
        <v>10</v>
      </c>
      <c r="I39" s="20">
        <f t="shared" si="5"/>
        <v>10</v>
      </c>
      <c r="J39" s="564"/>
      <c r="K39" s="557"/>
      <c r="L39" s="785"/>
      <c r="M39" s="55"/>
      <c r="N39" s="55"/>
      <c r="O39" s="55"/>
      <c r="P39" s="55"/>
    </row>
    <row r="40" spans="1:16" ht="25.5">
      <c r="A40" s="44" t="s">
        <v>396</v>
      </c>
      <c r="B40" s="61">
        <v>220</v>
      </c>
      <c r="C40" s="75" t="s">
        <v>358</v>
      </c>
      <c r="D40" s="75" t="s">
        <v>395</v>
      </c>
      <c r="E40" s="75" t="s">
        <v>397</v>
      </c>
      <c r="F40" s="75"/>
      <c r="G40" s="11">
        <f t="shared" si="5"/>
        <v>10</v>
      </c>
      <c r="H40" s="11">
        <f t="shared" si="5"/>
        <v>10</v>
      </c>
      <c r="I40" s="11">
        <f t="shared" si="5"/>
        <v>10</v>
      </c>
      <c r="J40" s="586"/>
      <c r="K40" s="557"/>
      <c r="L40" s="785"/>
      <c r="M40" s="55"/>
      <c r="N40" s="55"/>
      <c r="O40" s="55"/>
      <c r="P40" s="55"/>
    </row>
    <row r="41" spans="1:16">
      <c r="A41" s="44" t="s">
        <v>398</v>
      </c>
      <c r="B41" s="61">
        <v>220</v>
      </c>
      <c r="C41" s="75" t="s">
        <v>358</v>
      </c>
      <c r="D41" s="75" t="s">
        <v>395</v>
      </c>
      <c r="E41" s="75" t="s">
        <v>399</v>
      </c>
      <c r="F41" s="75"/>
      <c r="G41" s="11">
        <f>G40</f>
        <v>10</v>
      </c>
      <c r="H41" s="11">
        <f>H40</f>
        <v>10</v>
      </c>
      <c r="I41" s="11">
        <f>I40</f>
        <v>10</v>
      </c>
      <c r="J41" s="565"/>
      <c r="K41" s="557"/>
      <c r="L41" s="785"/>
      <c r="M41" s="55"/>
      <c r="N41" s="55"/>
      <c r="O41" s="55"/>
      <c r="P41" s="55"/>
    </row>
    <row r="42" spans="1:16">
      <c r="A42" s="44" t="s">
        <v>385</v>
      </c>
      <c r="B42" s="61">
        <v>220</v>
      </c>
      <c r="C42" s="75" t="s">
        <v>358</v>
      </c>
      <c r="D42" s="75" t="s">
        <v>395</v>
      </c>
      <c r="E42" s="75" t="s">
        <v>399</v>
      </c>
      <c r="F42" s="75" t="s">
        <v>386</v>
      </c>
      <c r="G42" s="11">
        <f ca="1">сРезерв!H65</f>
        <v>10</v>
      </c>
      <c r="H42" s="11">
        <f>G42</f>
        <v>10</v>
      </c>
      <c r="I42" s="11">
        <f>G42</f>
        <v>10</v>
      </c>
      <c r="J42" s="565"/>
      <c r="K42" s="559"/>
      <c r="L42" s="785"/>
      <c r="N42" s="55"/>
      <c r="O42" s="55"/>
      <c r="P42" s="55"/>
    </row>
    <row r="43" spans="1:16">
      <c r="A43" s="64" t="s">
        <v>400</v>
      </c>
      <c r="B43" s="61">
        <v>220</v>
      </c>
      <c r="C43" s="73" t="s">
        <v>358</v>
      </c>
      <c r="D43" s="73" t="s">
        <v>401</v>
      </c>
      <c r="E43" s="75"/>
      <c r="F43" s="75"/>
      <c r="G43" s="20">
        <f>G44+G51+G54</f>
        <v>1186.3000000000002</v>
      </c>
      <c r="H43" s="20">
        <f>H44+H51+H54</f>
        <v>1147.2</v>
      </c>
      <c r="I43" s="20">
        <f>I44+I51+I54</f>
        <v>1148.0999999999999</v>
      </c>
      <c r="J43" s="565"/>
      <c r="K43" s="557"/>
      <c r="L43" s="785"/>
      <c r="M43" s="55"/>
      <c r="N43" s="55"/>
      <c r="O43" s="55"/>
      <c r="P43" s="55"/>
    </row>
    <row r="44" spans="1:16" ht="63.75">
      <c r="A44" s="44" t="s">
        <v>210</v>
      </c>
      <c r="B44" s="61">
        <v>220</v>
      </c>
      <c r="C44" s="75" t="s">
        <v>358</v>
      </c>
      <c r="D44" s="75" t="s">
        <v>401</v>
      </c>
      <c r="E44" s="75" t="s">
        <v>378</v>
      </c>
      <c r="F44" s="75"/>
      <c r="G44" s="11">
        <f>G45+G48</f>
        <v>482.1</v>
      </c>
      <c r="H44" s="11">
        <f>H45+H48</f>
        <v>483</v>
      </c>
      <c r="I44" s="11">
        <f>I45+I48</f>
        <v>483.90000000000003</v>
      </c>
      <c r="J44" s="565"/>
      <c r="K44" s="557"/>
      <c r="L44" s="785"/>
      <c r="M44" s="55"/>
      <c r="N44" s="55"/>
      <c r="O44" s="55"/>
      <c r="P44" s="55"/>
    </row>
    <row r="45" spans="1:16" ht="25.5">
      <c r="A45" s="44" t="s">
        <v>213</v>
      </c>
      <c r="B45" s="61">
        <v>220</v>
      </c>
      <c r="C45" s="75" t="s">
        <v>358</v>
      </c>
      <c r="D45" s="75" t="s">
        <v>401</v>
      </c>
      <c r="E45" s="75" t="s">
        <v>214</v>
      </c>
      <c r="F45" s="75"/>
      <c r="G45" s="11">
        <f t="shared" ref="G45:I46" si="6">G46</f>
        <v>22</v>
      </c>
      <c r="H45" s="11">
        <f t="shared" si="6"/>
        <v>22.9</v>
      </c>
      <c r="I45" s="11">
        <f t="shared" si="6"/>
        <v>23.8</v>
      </c>
      <c r="J45" s="565"/>
      <c r="K45" s="557"/>
      <c r="L45" s="785"/>
      <c r="M45" s="55"/>
      <c r="N45" s="55"/>
      <c r="O45" s="55"/>
      <c r="P45" s="55"/>
    </row>
    <row r="46" spans="1:16" ht="89.25">
      <c r="A46" s="44" t="s">
        <v>215</v>
      </c>
      <c r="B46" s="61">
        <v>220</v>
      </c>
      <c r="C46" s="75" t="s">
        <v>358</v>
      </c>
      <c r="D46" s="75" t="s">
        <v>401</v>
      </c>
      <c r="E46" s="75" t="s">
        <v>199</v>
      </c>
      <c r="F46" s="75"/>
      <c r="G46" s="891">
        <f t="shared" si="6"/>
        <v>22</v>
      </c>
      <c r="H46" s="11">
        <f t="shared" si="6"/>
        <v>22.9</v>
      </c>
      <c r="I46" s="11">
        <f t="shared" si="6"/>
        <v>23.8</v>
      </c>
      <c r="J46" s="565"/>
      <c r="K46" s="557"/>
      <c r="L46" s="785"/>
      <c r="M46" s="55"/>
      <c r="N46" s="55"/>
      <c r="O46" s="55"/>
      <c r="P46" s="55"/>
    </row>
    <row r="47" spans="1:16" ht="38.25">
      <c r="A47" s="17" t="s">
        <v>374</v>
      </c>
      <c r="B47" s="61">
        <v>220</v>
      </c>
      <c r="C47" s="75" t="s">
        <v>358</v>
      </c>
      <c r="D47" s="75" t="s">
        <v>401</v>
      </c>
      <c r="E47" s="75" t="s">
        <v>199</v>
      </c>
      <c r="F47" s="75" t="s">
        <v>375</v>
      </c>
      <c r="G47" s="11">
        <f ca="1">сДругие!H65</f>
        <v>22</v>
      </c>
      <c r="H47" s="11">
        <f ca="1">Доходы!D79</f>
        <v>22.9</v>
      </c>
      <c r="I47" s="11">
        <f ca="1">Доходы!E79</f>
        <v>23.8</v>
      </c>
      <c r="J47" s="565"/>
      <c r="K47" s="557"/>
      <c r="L47" s="785"/>
      <c r="N47" s="55"/>
      <c r="O47" s="55"/>
      <c r="P47" s="55"/>
    </row>
    <row r="48" spans="1:16" ht="51">
      <c r="A48" s="44" t="s">
        <v>379</v>
      </c>
      <c r="B48" s="61">
        <v>220</v>
      </c>
      <c r="C48" s="75" t="s">
        <v>358</v>
      </c>
      <c r="D48" s="75" t="s">
        <v>401</v>
      </c>
      <c r="E48" s="75" t="s">
        <v>380</v>
      </c>
      <c r="F48" s="75"/>
      <c r="G48" s="11">
        <f t="shared" ref="G48:I49" si="7">G49</f>
        <v>460.1</v>
      </c>
      <c r="H48" s="11">
        <f t="shared" si="7"/>
        <v>460.1</v>
      </c>
      <c r="I48" s="11">
        <f t="shared" si="7"/>
        <v>460.1</v>
      </c>
      <c r="J48" s="565"/>
      <c r="K48" s="557"/>
      <c r="L48" s="785"/>
      <c r="M48" s="55"/>
      <c r="N48" s="55"/>
      <c r="O48" s="55"/>
      <c r="P48" s="55"/>
    </row>
    <row r="49" spans="1:16" ht="89.25">
      <c r="A49" s="44" t="s">
        <v>211</v>
      </c>
      <c r="B49" s="61">
        <v>220</v>
      </c>
      <c r="C49" s="75" t="s">
        <v>358</v>
      </c>
      <c r="D49" s="75" t="s">
        <v>401</v>
      </c>
      <c r="E49" s="75" t="s">
        <v>197</v>
      </c>
      <c r="F49" s="75"/>
      <c r="G49" s="891">
        <f t="shared" si="7"/>
        <v>460.1</v>
      </c>
      <c r="H49" s="11">
        <f t="shared" si="7"/>
        <v>460.1</v>
      </c>
      <c r="I49" s="11">
        <f t="shared" si="7"/>
        <v>460.1</v>
      </c>
      <c r="J49" s="565"/>
      <c r="K49" s="557"/>
      <c r="L49" s="785"/>
      <c r="M49" s="55"/>
      <c r="N49" s="55"/>
      <c r="O49" s="55"/>
      <c r="P49" s="55"/>
    </row>
    <row r="50" spans="1:16" ht="38.25">
      <c r="A50" s="17" t="s">
        <v>374</v>
      </c>
      <c r="B50" s="61">
        <v>220</v>
      </c>
      <c r="C50" s="75" t="s">
        <v>358</v>
      </c>
      <c r="D50" s="75" t="s">
        <v>401</v>
      </c>
      <c r="E50" s="75" t="s">
        <v>197</v>
      </c>
      <c r="F50" s="75" t="s">
        <v>375</v>
      </c>
      <c r="G50" s="11">
        <f ca="1">сДругие!H66</f>
        <v>460.1</v>
      </c>
      <c r="H50" s="11">
        <f>G50</f>
        <v>460.1</v>
      </c>
      <c r="I50" s="11">
        <f>G50</f>
        <v>460.1</v>
      </c>
      <c r="J50" s="565"/>
      <c r="K50" s="839"/>
      <c r="L50" s="874"/>
      <c r="N50" s="55"/>
      <c r="O50" s="55"/>
      <c r="P50" s="55"/>
    </row>
    <row r="51" spans="1:16" ht="25.5">
      <c r="A51" s="44" t="s">
        <v>402</v>
      </c>
      <c r="B51" s="61">
        <v>220</v>
      </c>
      <c r="C51" s="75" t="s">
        <v>358</v>
      </c>
      <c r="D51" s="75" t="s">
        <v>401</v>
      </c>
      <c r="E51" s="75" t="s">
        <v>403</v>
      </c>
      <c r="F51" s="75"/>
      <c r="G51" s="11">
        <f t="shared" ref="G51:I52" si="8">G52</f>
        <v>44.6</v>
      </c>
      <c r="H51" s="11">
        <f t="shared" si="8"/>
        <v>44.6</v>
      </c>
      <c r="I51" s="11">
        <f t="shared" si="8"/>
        <v>44.6</v>
      </c>
      <c r="J51" s="565"/>
      <c r="K51" s="557"/>
      <c r="L51" s="785"/>
      <c r="M51" s="55"/>
      <c r="N51" s="55"/>
      <c r="O51" s="55"/>
      <c r="P51" s="55"/>
    </row>
    <row r="52" spans="1:16" ht="63.75">
      <c r="A52" s="44" t="s">
        <v>404</v>
      </c>
      <c r="B52" s="61">
        <v>220</v>
      </c>
      <c r="C52" s="75" t="s">
        <v>358</v>
      </c>
      <c r="D52" s="75" t="s">
        <v>401</v>
      </c>
      <c r="E52" s="75" t="s">
        <v>405</v>
      </c>
      <c r="F52" s="75"/>
      <c r="G52" s="11">
        <f t="shared" si="8"/>
        <v>44.6</v>
      </c>
      <c r="H52" s="11">
        <f t="shared" si="8"/>
        <v>44.6</v>
      </c>
      <c r="I52" s="11">
        <f t="shared" si="8"/>
        <v>44.6</v>
      </c>
      <c r="J52" s="565"/>
      <c r="K52" s="557"/>
      <c r="L52" s="785"/>
      <c r="M52" s="55"/>
      <c r="N52" s="55"/>
      <c r="O52" s="55"/>
      <c r="P52" s="55"/>
    </row>
    <row r="53" spans="1:16" ht="38.25">
      <c r="A53" s="17" t="s">
        <v>374</v>
      </c>
      <c r="B53" s="61">
        <v>220</v>
      </c>
      <c r="C53" s="75" t="s">
        <v>358</v>
      </c>
      <c r="D53" s="75" t="s">
        <v>401</v>
      </c>
      <c r="E53" s="75" t="s">
        <v>405</v>
      </c>
      <c r="F53" s="75" t="s">
        <v>375</v>
      </c>
      <c r="G53" s="11">
        <f ca="1">сДругие!H67</f>
        <v>44.6</v>
      </c>
      <c r="H53" s="11">
        <f>G53</f>
        <v>44.6</v>
      </c>
      <c r="I53" s="11">
        <f>G53</f>
        <v>44.6</v>
      </c>
      <c r="J53" s="565"/>
      <c r="K53" s="557"/>
      <c r="L53" s="785"/>
      <c r="N53" s="55"/>
      <c r="O53" s="55"/>
      <c r="P53" s="55"/>
    </row>
    <row r="54" spans="1:16">
      <c r="A54" s="44" t="s">
        <v>389</v>
      </c>
      <c r="B54" s="61">
        <v>220</v>
      </c>
      <c r="C54" s="75" t="s">
        <v>358</v>
      </c>
      <c r="D54" s="75" t="s">
        <v>401</v>
      </c>
      <c r="E54" s="75" t="s">
        <v>390</v>
      </c>
      <c r="F54" s="78"/>
      <c r="G54" s="11">
        <f ca="1">G55+G57+G59</f>
        <v>659.6</v>
      </c>
      <c r="H54" s="11">
        <f>H55+H57+H59</f>
        <v>619.6</v>
      </c>
      <c r="I54" s="11">
        <f>I55+I57+I59</f>
        <v>619.6</v>
      </c>
      <c r="J54" s="565"/>
      <c r="K54" s="557"/>
      <c r="L54" s="785"/>
      <c r="M54" s="55"/>
      <c r="N54" s="55"/>
      <c r="O54" s="55"/>
      <c r="P54" s="55"/>
    </row>
    <row r="55" spans="1:16" ht="38.25">
      <c r="A55" s="44" t="s">
        <v>406</v>
      </c>
      <c r="B55" s="61">
        <v>220</v>
      </c>
      <c r="C55" s="75" t="s">
        <v>358</v>
      </c>
      <c r="D55" s="75" t="s">
        <v>401</v>
      </c>
      <c r="E55" s="75" t="s">
        <v>407</v>
      </c>
      <c r="F55" s="75"/>
      <c r="G55" s="11">
        <f ca="1">G56</f>
        <v>320</v>
      </c>
      <c r="H55" s="11">
        <f>H56</f>
        <v>320</v>
      </c>
      <c r="I55" s="11">
        <f>I56</f>
        <v>320</v>
      </c>
      <c r="J55" s="565"/>
      <c r="K55" s="557"/>
      <c r="L55" s="785"/>
      <c r="M55" s="55"/>
      <c r="N55" s="55"/>
      <c r="O55" s="55"/>
      <c r="P55" s="55"/>
    </row>
    <row r="56" spans="1:16">
      <c r="A56" s="44" t="s">
        <v>385</v>
      </c>
      <c r="B56" s="61">
        <v>220</v>
      </c>
      <c r="C56" s="75" t="s">
        <v>358</v>
      </c>
      <c r="D56" s="75" t="s">
        <v>401</v>
      </c>
      <c r="E56" s="75" t="s">
        <v>407</v>
      </c>
      <c r="F56" s="75" t="s">
        <v>386</v>
      </c>
      <c r="G56" s="11">
        <f ca="1">сДругие!H68</f>
        <v>320</v>
      </c>
      <c r="H56" s="11">
        <f>G56</f>
        <v>320</v>
      </c>
      <c r="I56" s="11">
        <f>G56</f>
        <v>320</v>
      </c>
      <c r="J56" s="565"/>
      <c r="K56" s="560"/>
      <c r="L56" s="785"/>
      <c r="N56" s="55"/>
      <c r="O56" s="55"/>
      <c r="P56" s="55"/>
    </row>
    <row r="57" spans="1:16" ht="38.25">
      <c r="A57" s="44" t="s">
        <v>38</v>
      </c>
      <c r="B57" s="61">
        <v>220</v>
      </c>
      <c r="C57" s="75" t="s">
        <v>358</v>
      </c>
      <c r="D57" s="75" t="s">
        <v>401</v>
      </c>
      <c r="E57" s="75" t="s">
        <v>45</v>
      </c>
      <c r="F57" s="75"/>
      <c r="G57" s="11">
        <f ca="1">G58</f>
        <v>299.60000000000002</v>
      </c>
      <c r="H57" s="11">
        <f>H58</f>
        <v>299.60000000000002</v>
      </c>
      <c r="I57" s="11">
        <f>I58</f>
        <v>299.60000000000002</v>
      </c>
      <c r="J57" s="565"/>
      <c r="K57" s="560"/>
      <c r="L57" s="785"/>
      <c r="M57" s="55"/>
      <c r="N57" s="55"/>
      <c r="O57" s="55"/>
      <c r="P57" s="55"/>
    </row>
    <row r="58" spans="1:16" ht="38.25">
      <c r="A58" s="17" t="s">
        <v>374</v>
      </c>
      <c r="B58" s="61">
        <v>220</v>
      </c>
      <c r="C58" s="75" t="s">
        <v>358</v>
      </c>
      <c r="D58" s="75" t="s">
        <v>401</v>
      </c>
      <c r="E58" s="75" t="s">
        <v>45</v>
      </c>
      <c r="F58" s="75" t="s">
        <v>375</v>
      </c>
      <c r="G58" s="11">
        <f ca="1">сДругие!H69</f>
        <v>299.60000000000002</v>
      </c>
      <c r="H58" s="11">
        <f>G58</f>
        <v>299.60000000000002</v>
      </c>
      <c r="I58" s="11">
        <f>G58</f>
        <v>299.60000000000002</v>
      </c>
      <c r="J58" s="565"/>
      <c r="K58" s="560"/>
      <c r="L58" s="785"/>
      <c r="N58" s="55"/>
      <c r="O58" s="55"/>
      <c r="P58" s="55"/>
    </row>
    <row r="59" spans="1:16" ht="38.25">
      <c r="A59" s="44" t="s">
        <v>69</v>
      </c>
      <c r="B59" s="61">
        <v>220</v>
      </c>
      <c r="C59" s="75" t="s">
        <v>358</v>
      </c>
      <c r="D59" s="75" t="s">
        <v>401</v>
      </c>
      <c r="E59" s="75" t="s">
        <v>47</v>
      </c>
      <c r="F59" s="75"/>
      <c r="G59" s="11">
        <f ca="1">G60</f>
        <v>40</v>
      </c>
      <c r="H59" s="11">
        <f>H60</f>
        <v>0</v>
      </c>
      <c r="I59" s="11">
        <f>I60</f>
        <v>0</v>
      </c>
      <c r="J59" s="565"/>
      <c r="K59" s="560"/>
      <c r="L59" s="785"/>
      <c r="M59" s="55"/>
      <c r="N59" s="55"/>
      <c r="O59" s="55"/>
      <c r="P59" s="55"/>
    </row>
    <row r="60" spans="1:16" ht="38.25">
      <c r="A60" s="17" t="s">
        <v>374</v>
      </c>
      <c r="B60" s="61">
        <v>220</v>
      </c>
      <c r="C60" s="75" t="s">
        <v>358</v>
      </c>
      <c r="D60" s="75" t="s">
        <v>401</v>
      </c>
      <c r="E60" s="75" t="s">
        <v>47</v>
      </c>
      <c r="F60" s="75" t="s">
        <v>375</v>
      </c>
      <c r="G60" s="11">
        <f ca="1">сДругие!H70</f>
        <v>40</v>
      </c>
      <c r="H60" s="11">
        <v>0</v>
      </c>
      <c r="I60" s="11">
        <v>0</v>
      </c>
      <c r="J60" s="565"/>
      <c r="K60" s="560"/>
      <c r="L60" s="785"/>
      <c r="N60" s="55"/>
      <c r="O60" s="55"/>
      <c r="P60" s="55"/>
    </row>
    <row r="61" spans="1:16" ht="15">
      <c r="A61" s="37" t="s">
        <v>408</v>
      </c>
      <c r="B61" s="79">
        <v>220</v>
      </c>
      <c r="C61" s="70" t="s">
        <v>360</v>
      </c>
      <c r="D61" s="70"/>
      <c r="E61" s="70"/>
      <c r="F61" s="70"/>
      <c r="G61" s="71">
        <f>G62</f>
        <v>57.7</v>
      </c>
      <c r="H61" s="71">
        <f t="shared" ref="H61:I64" si="9">H62</f>
        <v>58.6</v>
      </c>
      <c r="I61" s="71">
        <f t="shared" si="9"/>
        <v>0</v>
      </c>
      <c r="J61" s="564"/>
      <c r="K61" s="608"/>
      <c r="L61" s="785"/>
      <c r="M61" s="55"/>
      <c r="N61" s="55"/>
      <c r="O61" s="55"/>
      <c r="P61" s="55"/>
    </row>
    <row r="62" spans="1:16" ht="25.5">
      <c r="A62" s="64" t="s">
        <v>409</v>
      </c>
      <c r="B62" s="72">
        <v>220</v>
      </c>
      <c r="C62" s="73" t="s">
        <v>360</v>
      </c>
      <c r="D62" s="73" t="s">
        <v>368</v>
      </c>
      <c r="E62" s="73"/>
      <c r="F62" s="73"/>
      <c r="G62" s="20">
        <f>G63</f>
        <v>57.7</v>
      </c>
      <c r="H62" s="20">
        <f t="shared" si="9"/>
        <v>58.6</v>
      </c>
      <c r="I62" s="20">
        <f t="shared" si="9"/>
        <v>0</v>
      </c>
      <c r="J62" s="566"/>
      <c r="K62" s="557"/>
      <c r="L62" s="785"/>
      <c r="M62" s="55"/>
      <c r="N62" s="55"/>
      <c r="O62" s="55"/>
      <c r="P62" s="55"/>
    </row>
    <row r="63" spans="1:16" ht="25.5">
      <c r="A63" s="44" t="s">
        <v>402</v>
      </c>
      <c r="B63" s="61">
        <v>220</v>
      </c>
      <c r="C63" s="75" t="s">
        <v>360</v>
      </c>
      <c r="D63" s="75" t="s">
        <v>368</v>
      </c>
      <c r="E63" s="75" t="s">
        <v>403</v>
      </c>
      <c r="F63" s="75"/>
      <c r="G63" s="11">
        <f>G64</f>
        <v>57.7</v>
      </c>
      <c r="H63" s="11">
        <f t="shared" si="9"/>
        <v>58.6</v>
      </c>
      <c r="I63" s="11">
        <f t="shared" si="9"/>
        <v>0</v>
      </c>
      <c r="J63" s="566"/>
      <c r="K63" s="557"/>
      <c r="L63" s="785"/>
      <c r="M63" s="55"/>
      <c r="N63" s="55"/>
      <c r="O63" s="55"/>
      <c r="P63" s="55"/>
    </row>
    <row r="64" spans="1:16" ht="38.25">
      <c r="A64" s="44" t="s">
        <v>410</v>
      </c>
      <c r="B64" s="61">
        <v>220</v>
      </c>
      <c r="C64" s="75" t="s">
        <v>360</v>
      </c>
      <c r="D64" s="75" t="s">
        <v>368</v>
      </c>
      <c r="E64" s="75" t="s">
        <v>411</v>
      </c>
      <c r="F64" s="75"/>
      <c r="G64" s="11">
        <f>G65</f>
        <v>57.7</v>
      </c>
      <c r="H64" s="11">
        <f t="shared" si="9"/>
        <v>58.6</v>
      </c>
      <c r="I64" s="11">
        <f t="shared" si="9"/>
        <v>0</v>
      </c>
      <c r="J64" s="566"/>
      <c r="K64" s="557"/>
      <c r="L64" s="785"/>
      <c r="M64" s="55"/>
      <c r="N64" s="55"/>
      <c r="O64" s="55"/>
      <c r="P64" s="55"/>
    </row>
    <row r="65" spans="1:16" ht="38.25">
      <c r="A65" s="17" t="s">
        <v>374</v>
      </c>
      <c r="B65" s="61">
        <v>220</v>
      </c>
      <c r="C65" s="75" t="s">
        <v>360</v>
      </c>
      <c r="D65" s="75" t="s">
        <v>368</v>
      </c>
      <c r="E65" s="75" t="s">
        <v>411</v>
      </c>
      <c r="F65" s="75" t="s">
        <v>375</v>
      </c>
      <c r="G65" s="11">
        <f ca="1">сПВУ!H65</f>
        <v>57.7</v>
      </c>
      <c r="H65" s="11">
        <f ca="1">Доходы!D65</f>
        <v>58.6</v>
      </c>
      <c r="I65" s="11">
        <f ca="1">Доходы!E65</f>
        <v>0</v>
      </c>
      <c r="J65" s="564"/>
      <c r="K65" s="560"/>
      <c r="L65" s="785"/>
      <c r="N65" s="55"/>
      <c r="O65" s="55"/>
      <c r="P65" s="55"/>
    </row>
    <row r="66" spans="1:16" ht="30">
      <c r="A66" s="37" t="s">
        <v>412</v>
      </c>
      <c r="B66" s="79">
        <v>220</v>
      </c>
      <c r="C66" s="70" t="s">
        <v>368</v>
      </c>
      <c r="D66" s="70"/>
      <c r="E66" s="70"/>
      <c r="F66" s="70"/>
      <c r="G66" s="71">
        <f>G67+G71+G75</f>
        <v>231.09999999999997</v>
      </c>
      <c r="H66" s="71">
        <f>H67+H71+H75</f>
        <v>235.7</v>
      </c>
      <c r="I66" s="71">
        <f>I67+I71+I75</f>
        <v>240.6</v>
      </c>
      <c r="J66" s="564"/>
      <c r="K66" s="608"/>
      <c r="L66" s="785"/>
      <c r="M66" s="55"/>
      <c r="N66" s="55"/>
      <c r="O66" s="55"/>
      <c r="P66" s="55"/>
    </row>
    <row r="67" spans="1:16">
      <c r="A67" s="64" t="s">
        <v>247</v>
      </c>
      <c r="B67" s="72">
        <v>220</v>
      </c>
      <c r="C67" s="73" t="s">
        <v>368</v>
      </c>
      <c r="D67" s="73" t="s">
        <v>414</v>
      </c>
      <c r="E67" s="73"/>
      <c r="F67" s="73"/>
      <c r="G67" s="20">
        <f t="shared" ref="G67:I77" si="10">G68</f>
        <v>106.1</v>
      </c>
      <c r="H67" s="20">
        <f t="shared" si="10"/>
        <v>110.3</v>
      </c>
      <c r="I67" s="20">
        <f t="shared" si="10"/>
        <v>114.7</v>
      </c>
      <c r="J67" s="564"/>
      <c r="K67" s="557"/>
      <c r="L67" s="785"/>
      <c r="M67" s="55"/>
      <c r="N67" s="55"/>
      <c r="O67" s="55"/>
      <c r="P67" s="55"/>
    </row>
    <row r="68" spans="1:16" ht="51">
      <c r="A68" s="44" t="s">
        <v>106</v>
      </c>
      <c r="B68" s="61">
        <v>220</v>
      </c>
      <c r="C68" s="75" t="s">
        <v>368</v>
      </c>
      <c r="D68" s="75" t="s">
        <v>414</v>
      </c>
      <c r="E68" s="75" t="s">
        <v>415</v>
      </c>
      <c r="F68" s="75"/>
      <c r="G68" s="11">
        <f t="shared" si="10"/>
        <v>106.1</v>
      </c>
      <c r="H68" s="11">
        <f t="shared" si="10"/>
        <v>110.3</v>
      </c>
      <c r="I68" s="11">
        <f t="shared" si="10"/>
        <v>114.7</v>
      </c>
      <c r="J68" s="564"/>
      <c r="K68" s="557"/>
      <c r="L68" s="785"/>
      <c r="M68" s="55"/>
      <c r="N68" s="55"/>
      <c r="O68" s="55"/>
      <c r="P68" s="55"/>
    </row>
    <row r="69" spans="1:16" ht="76.5">
      <c r="A69" s="44" t="s">
        <v>216</v>
      </c>
      <c r="B69" s="61">
        <v>220</v>
      </c>
      <c r="C69" s="75" t="s">
        <v>368</v>
      </c>
      <c r="D69" s="75" t="s">
        <v>414</v>
      </c>
      <c r="E69" s="75" t="s">
        <v>200</v>
      </c>
      <c r="F69" s="75"/>
      <c r="G69" s="11">
        <f t="shared" si="10"/>
        <v>106.1</v>
      </c>
      <c r="H69" s="11">
        <f t="shared" si="10"/>
        <v>110.3</v>
      </c>
      <c r="I69" s="11">
        <f t="shared" si="10"/>
        <v>114.7</v>
      </c>
      <c r="J69" s="564"/>
      <c r="K69" s="557"/>
      <c r="L69" s="785"/>
      <c r="M69" s="55"/>
      <c r="N69" s="55"/>
      <c r="O69" s="55"/>
      <c r="P69" s="55"/>
    </row>
    <row r="70" spans="1:16" ht="38.25">
      <c r="A70" s="17" t="s">
        <v>374</v>
      </c>
      <c r="B70" s="61">
        <v>220</v>
      </c>
      <c r="C70" s="75" t="s">
        <v>368</v>
      </c>
      <c r="D70" s="75" t="s">
        <v>414</v>
      </c>
      <c r="E70" s="75" t="s">
        <v>200</v>
      </c>
      <c r="F70" s="75" t="s">
        <v>375</v>
      </c>
      <c r="G70" s="892">
        <f ca="1">сГОиЧС_1!H65</f>
        <v>106.1</v>
      </c>
      <c r="H70" s="11">
        <f ca="1">Доходы!D77</f>
        <v>110.3</v>
      </c>
      <c r="I70" s="11">
        <f ca="1">Доходы!E77</f>
        <v>114.7</v>
      </c>
      <c r="J70" s="564"/>
      <c r="K70" s="557"/>
      <c r="L70" s="785"/>
      <c r="N70" s="55"/>
      <c r="O70" s="55"/>
      <c r="P70" s="55"/>
    </row>
    <row r="71" spans="1:16" ht="51">
      <c r="A71" s="64" t="s">
        <v>248</v>
      </c>
      <c r="B71" s="72">
        <v>220</v>
      </c>
      <c r="C71" s="73" t="s">
        <v>368</v>
      </c>
      <c r="D71" s="73" t="s">
        <v>417</v>
      </c>
      <c r="E71" s="73"/>
      <c r="F71" s="73"/>
      <c r="G71" s="20">
        <f t="shared" si="10"/>
        <v>113.8</v>
      </c>
      <c r="H71" s="20">
        <f t="shared" si="10"/>
        <v>113.8</v>
      </c>
      <c r="I71" s="20">
        <f t="shared" si="10"/>
        <v>113.8</v>
      </c>
      <c r="J71" s="564"/>
      <c r="K71" s="557"/>
      <c r="L71" s="785"/>
      <c r="M71" s="55"/>
      <c r="N71" s="55"/>
      <c r="O71" s="55"/>
      <c r="P71" s="55"/>
    </row>
    <row r="72" spans="1:16" ht="51">
      <c r="A72" s="44" t="s">
        <v>106</v>
      </c>
      <c r="B72" s="61">
        <v>220</v>
      </c>
      <c r="C72" s="75" t="s">
        <v>368</v>
      </c>
      <c r="D72" s="75" t="s">
        <v>417</v>
      </c>
      <c r="E72" s="75" t="s">
        <v>415</v>
      </c>
      <c r="F72" s="75"/>
      <c r="G72" s="11">
        <f t="shared" si="10"/>
        <v>113.8</v>
      </c>
      <c r="H72" s="11">
        <f t="shared" si="10"/>
        <v>113.8</v>
      </c>
      <c r="I72" s="11">
        <f t="shared" si="10"/>
        <v>113.8</v>
      </c>
      <c r="J72" s="564"/>
      <c r="K72" s="557"/>
      <c r="L72" s="785"/>
      <c r="M72" s="55"/>
      <c r="N72" s="55"/>
      <c r="O72" s="55"/>
      <c r="P72" s="55"/>
    </row>
    <row r="73" spans="1:16" ht="89.25">
      <c r="A73" s="44" t="s">
        <v>217</v>
      </c>
      <c r="B73" s="61">
        <v>220</v>
      </c>
      <c r="C73" s="75" t="s">
        <v>368</v>
      </c>
      <c r="D73" s="75" t="s">
        <v>417</v>
      </c>
      <c r="E73" s="75" t="s">
        <v>200</v>
      </c>
      <c r="F73" s="75"/>
      <c r="G73" s="891">
        <f t="shared" si="10"/>
        <v>113.8</v>
      </c>
      <c r="H73" s="11">
        <f t="shared" si="10"/>
        <v>113.8</v>
      </c>
      <c r="I73" s="11">
        <f t="shared" si="10"/>
        <v>113.8</v>
      </c>
      <c r="J73" s="564"/>
      <c r="K73" s="557"/>
      <c r="L73" s="785"/>
      <c r="M73" s="55"/>
      <c r="N73" s="55"/>
      <c r="O73" s="55"/>
      <c r="P73" s="55"/>
    </row>
    <row r="74" spans="1:16" ht="38.25">
      <c r="A74" s="17" t="s">
        <v>374</v>
      </c>
      <c r="B74" s="61">
        <v>220</v>
      </c>
      <c r="C74" s="75" t="s">
        <v>368</v>
      </c>
      <c r="D74" s="75" t="s">
        <v>417</v>
      </c>
      <c r="E74" s="75" t="s">
        <v>200</v>
      </c>
      <c r="F74" s="75" t="s">
        <v>375</v>
      </c>
      <c r="G74" s="11">
        <f ca="1">сГОиЧС_2!H65</f>
        <v>113.8</v>
      </c>
      <c r="H74" s="11">
        <f ca="1">Доходы!D76</f>
        <v>113.8</v>
      </c>
      <c r="I74" s="11">
        <f ca="1">Доходы!E76</f>
        <v>113.8</v>
      </c>
      <c r="J74" s="564"/>
      <c r="K74" s="557"/>
      <c r="L74" s="785"/>
      <c r="N74" s="55"/>
      <c r="O74" s="55"/>
      <c r="P74" s="55"/>
    </row>
    <row r="75" spans="1:16" ht="38.25">
      <c r="A75" s="64" t="s">
        <v>202</v>
      </c>
      <c r="B75" s="72">
        <v>220</v>
      </c>
      <c r="C75" s="73" t="s">
        <v>368</v>
      </c>
      <c r="D75" s="73" t="s">
        <v>201</v>
      </c>
      <c r="E75" s="73"/>
      <c r="F75" s="73"/>
      <c r="G75" s="20">
        <f t="shared" si="10"/>
        <v>11.2</v>
      </c>
      <c r="H75" s="20">
        <f t="shared" si="10"/>
        <v>11.6</v>
      </c>
      <c r="I75" s="20">
        <f t="shared" si="10"/>
        <v>12.1</v>
      </c>
      <c r="J75" s="564"/>
      <c r="K75" s="557"/>
      <c r="L75" s="785"/>
      <c r="M75" s="55"/>
      <c r="N75" s="55"/>
      <c r="O75" s="55"/>
      <c r="P75" s="55"/>
    </row>
    <row r="76" spans="1:16" ht="51">
      <c r="A76" s="44" t="s">
        <v>106</v>
      </c>
      <c r="B76" s="61">
        <v>220</v>
      </c>
      <c r="C76" s="75" t="s">
        <v>368</v>
      </c>
      <c r="D76" s="75" t="s">
        <v>201</v>
      </c>
      <c r="E76" s="75" t="s">
        <v>415</v>
      </c>
      <c r="F76" s="75"/>
      <c r="G76" s="891">
        <f t="shared" si="10"/>
        <v>11.2</v>
      </c>
      <c r="H76" s="11">
        <f t="shared" si="10"/>
        <v>11.6</v>
      </c>
      <c r="I76" s="11">
        <f t="shared" si="10"/>
        <v>12.1</v>
      </c>
      <c r="J76" s="564"/>
      <c r="K76" s="557"/>
      <c r="L76" s="785"/>
      <c r="M76" s="55"/>
      <c r="N76" s="55"/>
      <c r="O76" s="55"/>
      <c r="P76" s="55"/>
    </row>
    <row r="77" spans="1:16" ht="89.25">
      <c r="A77" s="44" t="s">
        <v>218</v>
      </c>
      <c r="B77" s="61">
        <v>220</v>
      </c>
      <c r="C77" s="75" t="s">
        <v>368</v>
      </c>
      <c r="D77" s="75" t="s">
        <v>201</v>
      </c>
      <c r="E77" s="75" t="s">
        <v>200</v>
      </c>
      <c r="F77" s="75"/>
      <c r="G77" s="11">
        <f t="shared" si="10"/>
        <v>11.2</v>
      </c>
      <c r="H77" s="11">
        <f t="shared" si="10"/>
        <v>11.6</v>
      </c>
      <c r="I77" s="11">
        <f t="shared" si="10"/>
        <v>12.1</v>
      </c>
      <c r="J77" s="564"/>
      <c r="K77" s="557"/>
      <c r="L77" s="785"/>
      <c r="M77" s="55"/>
      <c r="N77" s="55"/>
      <c r="O77" s="55"/>
      <c r="P77" s="55"/>
    </row>
    <row r="78" spans="1:16" ht="38.25">
      <c r="A78" s="17" t="s">
        <v>374</v>
      </c>
      <c r="B78" s="61">
        <v>220</v>
      </c>
      <c r="C78" s="75" t="s">
        <v>368</v>
      </c>
      <c r="D78" s="75" t="s">
        <v>201</v>
      </c>
      <c r="E78" s="75" t="s">
        <v>200</v>
      </c>
      <c r="F78" s="75" t="s">
        <v>375</v>
      </c>
      <c r="G78" s="11">
        <f ca="1">сГОиЧС_3!H65</f>
        <v>11.2</v>
      </c>
      <c r="H78" s="11">
        <f ca="1">Доходы!D72</f>
        <v>11.6</v>
      </c>
      <c r="I78" s="11">
        <f ca="1">Доходы!E72</f>
        <v>12.1</v>
      </c>
      <c r="J78" s="564"/>
      <c r="K78" s="557"/>
      <c r="L78" s="785"/>
      <c r="N78" s="55"/>
      <c r="O78" s="55"/>
      <c r="P78" s="55"/>
    </row>
    <row r="79" spans="1:16" ht="15">
      <c r="A79" s="37" t="s">
        <v>418</v>
      </c>
      <c r="B79" s="79">
        <v>220</v>
      </c>
      <c r="C79" s="70" t="s">
        <v>377</v>
      </c>
      <c r="D79" s="70"/>
      <c r="E79" s="70"/>
      <c r="F79" s="70"/>
      <c r="G79" s="71">
        <f>G80+G87</f>
        <v>10505.900000000001</v>
      </c>
      <c r="H79" s="71">
        <f>H80+H87</f>
        <v>6624.8</v>
      </c>
      <c r="I79" s="71">
        <f>I80+I87</f>
        <v>4579.3999999999996</v>
      </c>
      <c r="J79" s="564"/>
      <c r="K79" s="608"/>
      <c r="L79" s="876"/>
      <c r="M79" s="55"/>
      <c r="N79" s="55"/>
      <c r="O79" s="55"/>
      <c r="P79" s="55"/>
    </row>
    <row r="80" spans="1:16" ht="25.5">
      <c r="A80" s="64" t="s">
        <v>419</v>
      </c>
      <c r="B80" s="72">
        <v>220</v>
      </c>
      <c r="C80" s="73" t="s">
        <v>377</v>
      </c>
      <c r="D80" s="73" t="s">
        <v>414</v>
      </c>
      <c r="E80" s="73"/>
      <c r="F80" s="73"/>
      <c r="G80" s="20">
        <f>G81+G84</f>
        <v>10345.900000000001</v>
      </c>
      <c r="H80" s="20">
        <f>H81+H84</f>
        <v>6614.8</v>
      </c>
      <c r="I80" s="20">
        <f>I81+I84</f>
        <v>4569.3999999999996</v>
      </c>
      <c r="J80" s="564"/>
      <c r="K80" s="557"/>
      <c r="L80" s="785"/>
      <c r="M80" s="55"/>
      <c r="N80" s="55"/>
      <c r="O80" s="55"/>
      <c r="P80" s="55"/>
    </row>
    <row r="81" spans="1:16" ht="51">
      <c r="A81" s="44" t="s">
        <v>219</v>
      </c>
      <c r="B81" s="61">
        <v>220</v>
      </c>
      <c r="C81" s="75" t="s">
        <v>377</v>
      </c>
      <c r="D81" s="75" t="s">
        <v>414</v>
      </c>
      <c r="E81" s="75" t="s">
        <v>220</v>
      </c>
      <c r="F81" s="75"/>
      <c r="G81" s="11">
        <f t="shared" ref="G81:I82" si="11">G82</f>
        <v>4224.6000000000004</v>
      </c>
      <c r="H81" s="11">
        <f t="shared" si="11"/>
        <v>4393.6000000000004</v>
      </c>
      <c r="I81" s="11">
        <f t="shared" si="11"/>
        <v>4569.3999999999996</v>
      </c>
      <c r="J81" s="564"/>
      <c r="K81" s="557"/>
      <c r="L81" s="785"/>
      <c r="M81" s="55"/>
      <c r="N81" s="55"/>
      <c r="O81" s="55"/>
      <c r="P81" s="55"/>
    </row>
    <row r="82" spans="1:16" ht="63.75">
      <c r="A82" s="17" t="s">
        <v>221</v>
      </c>
      <c r="B82" s="61">
        <v>219</v>
      </c>
      <c r="C82" s="75" t="s">
        <v>377</v>
      </c>
      <c r="D82" s="75" t="s">
        <v>414</v>
      </c>
      <c r="E82" s="75" t="s">
        <v>203</v>
      </c>
      <c r="F82" s="75"/>
      <c r="G82" s="414">
        <f t="shared" si="11"/>
        <v>4224.6000000000004</v>
      </c>
      <c r="H82" s="11">
        <f t="shared" si="11"/>
        <v>4393.6000000000004</v>
      </c>
      <c r="I82" s="11">
        <f t="shared" si="11"/>
        <v>4569.3999999999996</v>
      </c>
      <c r="J82" s="564"/>
      <c r="K82" s="560"/>
      <c r="L82" s="877"/>
      <c r="M82" s="55"/>
      <c r="N82" s="55"/>
      <c r="O82" s="55"/>
      <c r="P82" s="55"/>
    </row>
    <row r="83" spans="1:16" ht="38.25">
      <c r="A83" s="17" t="s">
        <v>374</v>
      </c>
      <c r="B83" s="61">
        <v>220</v>
      </c>
      <c r="C83" s="75" t="s">
        <v>377</v>
      </c>
      <c r="D83" s="75" t="s">
        <v>414</v>
      </c>
      <c r="E83" s="75" t="s">
        <v>203</v>
      </c>
      <c r="F83" s="75" t="s">
        <v>375</v>
      </c>
      <c r="G83" s="11">
        <f ca="1">сДороги!H65</f>
        <v>4224.6000000000004</v>
      </c>
      <c r="H83" s="11">
        <f ca="1">Доходы!D91</f>
        <v>4393.6000000000004</v>
      </c>
      <c r="I83" s="11">
        <f ca="1">Доходы!E91</f>
        <v>4569.3999999999996</v>
      </c>
      <c r="J83" s="564"/>
      <c r="K83" s="560"/>
      <c r="L83" s="877"/>
      <c r="N83" s="55"/>
      <c r="O83" s="55"/>
      <c r="P83" s="55"/>
    </row>
    <row r="84" spans="1:16">
      <c r="A84" s="44" t="s">
        <v>389</v>
      </c>
      <c r="B84" s="61">
        <v>220</v>
      </c>
      <c r="C84" s="75" t="s">
        <v>377</v>
      </c>
      <c r="D84" s="75" t="s">
        <v>414</v>
      </c>
      <c r="E84" s="75" t="s">
        <v>390</v>
      </c>
      <c r="F84" s="75"/>
      <c r="G84" s="11">
        <f t="shared" ref="G84:I85" si="12">G85</f>
        <v>6121.3</v>
      </c>
      <c r="H84" s="11">
        <f t="shared" si="12"/>
        <v>2221.1999999999998</v>
      </c>
      <c r="I84" s="11">
        <f t="shared" si="12"/>
        <v>0</v>
      </c>
      <c r="J84" s="564"/>
      <c r="K84" s="560"/>
      <c r="L84" s="877"/>
      <c r="M84" s="55"/>
      <c r="N84" s="55"/>
      <c r="O84" s="55"/>
      <c r="P84" s="55"/>
    </row>
    <row r="85" spans="1:16" ht="25.5">
      <c r="A85" s="44" t="s">
        <v>421</v>
      </c>
      <c r="B85" s="61">
        <v>220</v>
      </c>
      <c r="C85" s="75" t="s">
        <v>377</v>
      </c>
      <c r="D85" s="75" t="s">
        <v>414</v>
      </c>
      <c r="E85" s="75" t="s">
        <v>422</v>
      </c>
      <c r="F85" s="75"/>
      <c r="G85" s="11">
        <f t="shared" si="12"/>
        <v>6121.3</v>
      </c>
      <c r="H85" s="11">
        <f t="shared" si="12"/>
        <v>2221.1999999999998</v>
      </c>
      <c r="I85" s="11">
        <f t="shared" si="12"/>
        <v>0</v>
      </c>
      <c r="J85" s="564"/>
      <c r="K85" s="560"/>
      <c r="L85" s="877"/>
      <c r="M85" s="55"/>
      <c r="N85" s="55"/>
      <c r="O85" s="55"/>
      <c r="P85" s="55"/>
    </row>
    <row r="86" spans="1:16" ht="38.25">
      <c r="A86" s="17" t="s">
        <v>374</v>
      </c>
      <c r="B86" s="61">
        <v>220</v>
      </c>
      <c r="C86" s="75" t="s">
        <v>377</v>
      </c>
      <c r="D86" s="75" t="s">
        <v>414</v>
      </c>
      <c r="E86" s="75" t="s">
        <v>422</v>
      </c>
      <c r="F86" s="75" t="s">
        <v>375</v>
      </c>
      <c r="G86" s="11">
        <f ca="1">сДороги!H66</f>
        <v>6121.3</v>
      </c>
      <c r="H86" s="11">
        <f ca="1">Доходы!D13</f>
        <v>2221.1999999999998</v>
      </c>
      <c r="I86" s="11">
        <f ca="1">Доходы!E13</f>
        <v>0</v>
      </c>
      <c r="J86" s="567"/>
      <c r="K86" s="839"/>
      <c r="L86" s="874"/>
      <c r="N86" s="55"/>
      <c r="O86" s="55"/>
      <c r="P86" s="55"/>
    </row>
    <row r="87" spans="1:16" ht="25.5">
      <c r="A87" s="64" t="s">
        <v>423</v>
      </c>
      <c r="B87" s="72">
        <v>220</v>
      </c>
      <c r="C87" s="73" t="s">
        <v>377</v>
      </c>
      <c r="D87" s="73" t="s">
        <v>424</v>
      </c>
      <c r="E87" s="73"/>
      <c r="F87" s="73"/>
      <c r="G87" s="20">
        <f>G88+G91</f>
        <v>160</v>
      </c>
      <c r="H87" s="20">
        <f>H88+H91</f>
        <v>10</v>
      </c>
      <c r="I87" s="20">
        <f>I88+I91</f>
        <v>10</v>
      </c>
      <c r="J87" s="567"/>
      <c r="K87" s="839"/>
      <c r="L87" s="785"/>
      <c r="M87" s="55"/>
      <c r="N87" s="55"/>
      <c r="O87" s="55"/>
      <c r="P87" s="55"/>
    </row>
    <row r="88" spans="1:16" ht="76.5">
      <c r="A88" s="44" t="s">
        <v>960</v>
      </c>
      <c r="B88" s="61">
        <v>220</v>
      </c>
      <c r="C88" s="75" t="s">
        <v>377</v>
      </c>
      <c r="D88" s="75" t="s">
        <v>424</v>
      </c>
      <c r="E88" s="75" t="s">
        <v>959</v>
      </c>
      <c r="F88" s="75"/>
      <c r="G88" s="11">
        <f t="shared" ref="G88:I89" si="13">G89</f>
        <v>10</v>
      </c>
      <c r="H88" s="11">
        <f t="shared" si="13"/>
        <v>10</v>
      </c>
      <c r="I88" s="11">
        <f t="shared" si="13"/>
        <v>10</v>
      </c>
      <c r="J88" s="567"/>
      <c r="K88" s="839"/>
      <c r="L88" s="785"/>
      <c r="M88" s="55"/>
      <c r="N88" s="55"/>
      <c r="O88" s="55"/>
      <c r="P88" s="55"/>
    </row>
    <row r="89" spans="1:16" ht="76.5">
      <c r="A89" s="17" t="s">
        <v>961</v>
      </c>
      <c r="B89" s="61">
        <v>220</v>
      </c>
      <c r="C89" s="75" t="s">
        <v>377</v>
      </c>
      <c r="D89" s="75" t="s">
        <v>424</v>
      </c>
      <c r="E89" s="75" t="s">
        <v>957</v>
      </c>
      <c r="F89" s="75"/>
      <c r="G89" s="11">
        <f t="shared" si="13"/>
        <v>10</v>
      </c>
      <c r="H89" s="11">
        <f t="shared" si="13"/>
        <v>10</v>
      </c>
      <c r="I89" s="11">
        <f t="shared" si="13"/>
        <v>10</v>
      </c>
      <c r="J89" s="567"/>
      <c r="K89" s="839"/>
      <c r="L89" s="785"/>
      <c r="M89" s="55"/>
      <c r="N89" s="55"/>
      <c r="O89" s="55"/>
      <c r="P89" s="55"/>
    </row>
    <row r="90" spans="1:16" ht="25.5">
      <c r="A90" s="17" t="s">
        <v>435</v>
      </c>
      <c r="B90" s="61">
        <v>220</v>
      </c>
      <c r="C90" s="75" t="s">
        <v>377</v>
      </c>
      <c r="D90" s="75" t="s">
        <v>424</v>
      </c>
      <c r="E90" s="75" t="s">
        <v>957</v>
      </c>
      <c r="F90" s="75" t="s">
        <v>375</v>
      </c>
      <c r="G90" s="11">
        <f ca="1">сНацЭкон!H66</f>
        <v>10</v>
      </c>
      <c r="H90" s="11">
        <f>G90</f>
        <v>10</v>
      </c>
      <c r="I90" s="11">
        <f>G90</f>
        <v>10</v>
      </c>
      <c r="J90" s="567"/>
      <c r="K90" s="839"/>
      <c r="L90" s="785"/>
      <c r="N90" s="55"/>
      <c r="O90" s="55"/>
      <c r="P90" s="55"/>
    </row>
    <row r="91" spans="1:16">
      <c r="A91" s="17" t="s">
        <v>389</v>
      </c>
      <c r="B91" s="61">
        <v>220</v>
      </c>
      <c r="C91" s="75" t="s">
        <v>377</v>
      </c>
      <c r="D91" s="75" t="s">
        <v>424</v>
      </c>
      <c r="E91" s="75" t="s">
        <v>390</v>
      </c>
      <c r="F91" s="75"/>
      <c r="G91" s="11">
        <f t="shared" ref="G91:I92" si="14">G92</f>
        <v>150</v>
      </c>
      <c r="H91" s="11">
        <f t="shared" si="14"/>
        <v>0</v>
      </c>
      <c r="I91" s="11">
        <f t="shared" si="14"/>
        <v>0</v>
      </c>
      <c r="J91" s="567"/>
      <c r="K91" s="839"/>
      <c r="L91" s="785"/>
      <c r="M91" s="55"/>
      <c r="N91" s="55"/>
      <c r="O91" s="55"/>
      <c r="P91" s="55"/>
    </row>
    <row r="92" spans="1:16" ht="25.5">
      <c r="A92" s="44" t="s">
        <v>807</v>
      </c>
      <c r="B92" s="61">
        <v>220</v>
      </c>
      <c r="C92" s="75" t="s">
        <v>377</v>
      </c>
      <c r="D92" s="75" t="s">
        <v>424</v>
      </c>
      <c r="E92" s="75" t="s">
        <v>878</v>
      </c>
      <c r="F92" s="75"/>
      <c r="G92" s="11">
        <f t="shared" si="14"/>
        <v>150</v>
      </c>
      <c r="H92" s="11">
        <f t="shared" si="14"/>
        <v>0</v>
      </c>
      <c r="I92" s="11">
        <f t="shared" si="14"/>
        <v>0</v>
      </c>
      <c r="J92" s="567"/>
      <c r="K92" s="561"/>
      <c r="L92" s="785"/>
      <c r="M92" s="55"/>
      <c r="N92" s="55"/>
      <c r="O92" s="55"/>
      <c r="P92" s="55"/>
    </row>
    <row r="93" spans="1:16" ht="38.25">
      <c r="A93" s="17" t="s">
        <v>374</v>
      </c>
      <c r="B93" s="61">
        <v>220</v>
      </c>
      <c r="C93" s="75" t="s">
        <v>377</v>
      </c>
      <c r="D93" s="75" t="s">
        <v>424</v>
      </c>
      <c r="E93" s="75" t="s">
        <v>878</v>
      </c>
      <c r="F93" s="75" t="s">
        <v>375</v>
      </c>
      <c r="G93" s="11">
        <f ca="1">сНацЭкон!H65</f>
        <v>150</v>
      </c>
      <c r="H93" s="11">
        <v>0</v>
      </c>
      <c r="I93" s="11">
        <v>0</v>
      </c>
      <c r="J93" s="586"/>
      <c r="K93" s="872"/>
      <c r="L93" s="875"/>
      <c r="N93" s="872"/>
      <c r="O93" s="872"/>
      <c r="P93" s="872"/>
    </row>
    <row r="94" spans="1:16" ht="30">
      <c r="A94" s="37" t="s">
        <v>425</v>
      </c>
      <c r="B94" s="79">
        <v>220</v>
      </c>
      <c r="C94" s="70" t="s">
        <v>426</v>
      </c>
      <c r="D94" s="70"/>
      <c r="E94" s="70"/>
      <c r="F94" s="70"/>
      <c r="G94" s="71">
        <f>G95+G102+G106+G117</f>
        <v>1575.1999999999998</v>
      </c>
      <c r="H94" s="71">
        <f>H95+H102+H106+H117</f>
        <v>689.6</v>
      </c>
      <c r="I94" s="71">
        <f>I95+I102+I106+I117</f>
        <v>715.4</v>
      </c>
      <c r="J94" s="565"/>
      <c r="K94" s="608"/>
      <c r="L94" s="785"/>
      <c r="M94" s="55"/>
      <c r="N94" s="55"/>
      <c r="O94" s="55"/>
      <c r="P94" s="55"/>
    </row>
    <row r="95" spans="1:16">
      <c r="A95" s="64" t="s">
        <v>427</v>
      </c>
      <c r="B95" s="72">
        <v>220</v>
      </c>
      <c r="C95" s="73" t="s">
        <v>426</v>
      </c>
      <c r="D95" s="73" t="s">
        <v>358</v>
      </c>
      <c r="E95" s="73"/>
      <c r="F95" s="73"/>
      <c r="G95" s="20">
        <f>G96+G99</f>
        <v>673.4</v>
      </c>
      <c r="H95" s="20">
        <f>H96+H99</f>
        <v>0</v>
      </c>
      <c r="I95" s="20">
        <f>I96+I99</f>
        <v>0</v>
      </c>
      <c r="J95" s="565"/>
      <c r="K95" s="557"/>
      <c r="L95" s="785"/>
      <c r="M95" s="55"/>
      <c r="N95" s="55"/>
      <c r="O95" s="55"/>
      <c r="P95" s="55"/>
    </row>
    <row r="96" spans="1:16" ht="89.25">
      <c r="A96" s="17" t="s">
        <v>223</v>
      </c>
      <c r="B96" s="61">
        <v>220</v>
      </c>
      <c r="C96" s="75" t="s">
        <v>426</v>
      </c>
      <c r="D96" s="75" t="s">
        <v>358</v>
      </c>
      <c r="E96" s="75" t="s">
        <v>222</v>
      </c>
      <c r="F96" s="75"/>
      <c r="G96" s="11">
        <f t="shared" ref="G96:I97" si="15">G97</f>
        <v>673.4</v>
      </c>
      <c r="H96" s="11">
        <f t="shared" si="15"/>
        <v>0</v>
      </c>
      <c r="I96" s="11">
        <f t="shared" si="15"/>
        <v>0</v>
      </c>
      <c r="J96" s="586"/>
      <c r="K96" s="839"/>
      <c r="L96" s="878"/>
      <c r="M96" s="557"/>
      <c r="N96" s="557"/>
      <c r="O96" s="557"/>
      <c r="P96" s="557"/>
    </row>
    <row r="97" spans="1:16" ht="89.25">
      <c r="A97" s="17" t="s">
        <v>224</v>
      </c>
      <c r="B97" s="61">
        <v>220</v>
      </c>
      <c r="C97" s="75" t="s">
        <v>426</v>
      </c>
      <c r="D97" s="75" t="s">
        <v>358</v>
      </c>
      <c r="E97" s="75" t="s">
        <v>204</v>
      </c>
      <c r="F97" s="75"/>
      <c r="G97" s="11">
        <f t="shared" si="15"/>
        <v>673.4</v>
      </c>
      <c r="H97" s="11">
        <f t="shared" si="15"/>
        <v>0</v>
      </c>
      <c r="I97" s="11">
        <f t="shared" si="15"/>
        <v>0</v>
      </c>
      <c r="J97" s="586"/>
      <c r="K97" s="839"/>
      <c r="L97" s="878"/>
      <c r="M97" s="557"/>
      <c r="N97" s="557"/>
      <c r="O97" s="557"/>
      <c r="P97" s="557"/>
    </row>
    <row r="98" spans="1:16" ht="38.25">
      <c r="A98" s="17" t="s">
        <v>374</v>
      </c>
      <c r="B98" s="61">
        <v>220</v>
      </c>
      <c r="C98" s="75" t="s">
        <v>426</v>
      </c>
      <c r="D98" s="75" t="s">
        <v>358</v>
      </c>
      <c r="E98" s="75" t="s">
        <v>204</v>
      </c>
      <c r="F98" s="75" t="s">
        <v>375</v>
      </c>
      <c r="G98" s="11">
        <f ca="1">сЖилфонд!H65</f>
        <v>673.4</v>
      </c>
      <c r="H98" s="11">
        <f ca="1">Доходы!D87</f>
        <v>0</v>
      </c>
      <c r="I98" s="11">
        <f ca="1">Доходы!E87</f>
        <v>0</v>
      </c>
      <c r="J98" s="586"/>
      <c r="K98" s="839"/>
      <c r="L98" s="878"/>
      <c r="N98" s="557"/>
      <c r="O98" s="557"/>
      <c r="P98" s="557"/>
    </row>
    <row r="99" spans="1:16">
      <c r="A99" s="871" t="s">
        <v>389</v>
      </c>
      <c r="B99" s="868">
        <v>220</v>
      </c>
      <c r="C99" s="869" t="s">
        <v>426</v>
      </c>
      <c r="D99" s="869" t="s">
        <v>358</v>
      </c>
      <c r="E99" s="869" t="s">
        <v>390</v>
      </c>
      <c r="F99" s="869"/>
      <c r="G99" s="870">
        <f t="shared" ref="G99:I100" si="16">G100</f>
        <v>0</v>
      </c>
      <c r="H99" s="870">
        <f t="shared" si="16"/>
        <v>0</v>
      </c>
      <c r="I99" s="870">
        <f t="shared" si="16"/>
        <v>0</v>
      </c>
      <c r="J99" s="586"/>
      <c r="K99" s="839"/>
      <c r="L99" s="878"/>
      <c r="M99" s="557"/>
      <c r="N99" s="557"/>
      <c r="O99" s="557"/>
      <c r="P99" s="557"/>
    </row>
    <row r="100" spans="1:16" ht="25.5">
      <c r="A100" s="871" t="s">
        <v>428</v>
      </c>
      <c r="B100" s="868">
        <v>220</v>
      </c>
      <c r="C100" s="869" t="s">
        <v>426</v>
      </c>
      <c r="D100" s="869" t="s">
        <v>358</v>
      </c>
      <c r="E100" s="869" t="s">
        <v>429</v>
      </c>
      <c r="F100" s="869"/>
      <c r="G100" s="870">
        <f t="shared" si="16"/>
        <v>0</v>
      </c>
      <c r="H100" s="870">
        <f t="shared" si="16"/>
        <v>0</v>
      </c>
      <c r="I100" s="870">
        <f t="shared" si="16"/>
        <v>0</v>
      </c>
      <c r="J100" s="586"/>
      <c r="K100" s="839"/>
      <c r="L100" s="878"/>
      <c r="M100" s="557"/>
      <c r="N100" s="557"/>
      <c r="O100" s="557"/>
      <c r="P100" s="557"/>
    </row>
    <row r="101" spans="1:16" ht="38.25">
      <c r="A101" s="871" t="s">
        <v>374</v>
      </c>
      <c r="B101" s="868">
        <v>220</v>
      </c>
      <c r="C101" s="869" t="s">
        <v>426</v>
      </c>
      <c r="D101" s="869" t="s">
        <v>358</v>
      </c>
      <c r="E101" s="869" t="s">
        <v>429</v>
      </c>
      <c r="F101" s="869" t="s">
        <v>375</v>
      </c>
      <c r="G101" s="870">
        <f ca="1">сЖилфонд!H66</f>
        <v>0</v>
      </c>
      <c r="H101" s="870">
        <v>0</v>
      </c>
      <c r="I101" s="870">
        <v>0</v>
      </c>
      <c r="J101" s="586"/>
      <c r="K101" s="839"/>
      <c r="L101" s="878"/>
      <c r="M101" s="557"/>
      <c r="N101" s="557"/>
      <c r="O101" s="557"/>
      <c r="P101" s="557"/>
    </row>
    <row r="102" spans="1:16">
      <c r="A102" s="64" t="s">
        <v>430</v>
      </c>
      <c r="B102" s="72">
        <v>220</v>
      </c>
      <c r="C102" s="73" t="s">
        <v>426</v>
      </c>
      <c r="D102" s="73" t="s">
        <v>360</v>
      </c>
      <c r="E102" s="73"/>
      <c r="F102" s="73"/>
      <c r="G102" s="20">
        <f t="shared" ref="G102:I104" si="17">G103</f>
        <v>13.4</v>
      </c>
      <c r="H102" s="20">
        <f t="shared" si="17"/>
        <v>22.9</v>
      </c>
      <c r="I102" s="20">
        <f t="shared" si="17"/>
        <v>23.8</v>
      </c>
      <c r="J102" s="564"/>
      <c r="K102" s="80"/>
      <c r="L102" s="876"/>
      <c r="M102" s="55"/>
      <c r="N102" s="55"/>
      <c r="O102" s="55"/>
      <c r="P102" s="55"/>
    </row>
    <row r="103" spans="1:16" ht="51">
      <c r="A103" s="44" t="s">
        <v>226</v>
      </c>
      <c r="B103" s="61">
        <v>220</v>
      </c>
      <c r="C103" s="75" t="s">
        <v>426</v>
      </c>
      <c r="D103" s="75" t="s">
        <v>360</v>
      </c>
      <c r="E103" s="75" t="s">
        <v>225</v>
      </c>
      <c r="F103" s="75"/>
      <c r="G103" s="11">
        <f t="shared" si="17"/>
        <v>13.4</v>
      </c>
      <c r="H103" s="11">
        <f t="shared" si="17"/>
        <v>22.9</v>
      </c>
      <c r="I103" s="11">
        <f t="shared" si="17"/>
        <v>23.8</v>
      </c>
      <c r="J103" s="564"/>
      <c r="K103" s="560"/>
      <c r="L103" s="879"/>
      <c r="M103" s="55"/>
      <c r="N103" s="55"/>
      <c r="O103" s="55"/>
      <c r="P103" s="55"/>
    </row>
    <row r="104" spans="1:16" ht="76.5">
      <c r="A104" s="44" t="s">
        <v>227</v>
      </c>
      <c r="B104" s="61">
        <v>220</v>
      </c>
      <c r="C104" s="75" t="s">
        <v>426</v>
      </c>
      <c r="D104" s="75" t="s">
        <v>360</v>
      </c>
      <c r="E104" s="75" t="s">
        <v>205</v>
      </c>
      <c r="F104" s="75"/>
      <c r="G104" s="11">
        <f t="shared" si="17"/>
        <v>13.4</v>
      </c>
      <c r="H104" s="11">
        <f t="shared" si="17"/>
        <v>22.9</v>
      </c>
      <c r="I104" s="11">
        <f t="shared" si="17"/>
        <v>23.8</v>
      </c>
      <c r="J104" s="564"/>
      <c r="K104" s="557"/>
      <c r="L104" s="785"/>
      <c r="M104" s="55"/>
      <c r="N104" s="55"/>
      <c r="O104" s="55"/>
      <c r="P104" s="55"/>
    </row>
    <row r="105" spans="1:16" ht="38.25">
      <c r="A105" s="17" t="s">
        <v>374</v>
      </c>
      <c r="B105" s="61">
        <v>220</v>
      </c>
      <c r="C105" s="75" t="s">
        <v>426</v>
      </c>
      <c r="D105" s="75" t="s">
        <v>360</v>
      </c>
      <c r="E105" s="75" t="s">
        <v>205</v>
      </c>
      <c r="F105" s="75" t="s">
        <v>375</v>
      </c>
      <c r="G105" s="11">
        <f ca="1">сКомХоз!H65</f>
        <v>13.4</v>
      </c>
      <c r="H105" s="11">
        <f ca="1">Доходы!D79</f>
        <v>22.9</v>
      </c>
      <c r="I105" s="11">
        <f ca="1">Доходы!E79</f>
        <v>23.8</v>
      </c>
      <c r="J105" s="564"/>
      <c r="K105" s="557"/>
      <c r="L105" s="785"/>
      <c r="N105" s="55"/>
      <c r="O105" s="55"/>
      <c r="P105" s="55"/>
    </row>
    <row r="106" spans="1:16">
      <c r="A106" s="64" t="s">
        <v>431</v>
      </c>
      <c r="B106" s="72">
        <v>220</v>
      </c>
      <c r="C106" s="73" t="s">
        <v>426</v>
      </c>
      <c r="D106" s="73" t="s">
        <v>368</v>
      </c>
      <c r="E106" s="73"/>
      <c r="F106" s="73"/>
      <c r="G106" s="20">
        <f>G107+G112</f>
        <v>795.9</v>
      </c>
      <c r="H106" s="20">
        <f>H107+H112</f>
        <v>572.20000000000005</v>
      </c>
      <c r="I106" s="20">
        <f>I107+I112</f>
        <v>595</v>
      </c>
      <c r="J106" s="586"/>
      <c r="K106" s="557"/>
      <c r="L106" s="785"/>
      <c r="M106" s="55"/>
      <c r="N106" s="55"/>
      <c r="O106" s="55"/>
      <c r="P106" s="55"/>
    </row>
    <row r="107" spans="1:16" ht="76.5">
      <c r="A107" s="44" t="s">
        <v>228</v>
      </c>
      <c r="B107" s="61">
        <v>220</v>
      </c>
      <c r="C107" s="75" t="s">
        <v>426</v>
      </c>
      <c r="D107" s="75" t="s">
        <v>368</v>
      </c>
      <c r="E107" s="75" t="s">
        <v>420</v>
      </c>
      <c r="F107" s="75"/>
      <c r="G107" s="11">
        <f t="shared" ref="G107:I108" si="18">G108</f>
        <v>795.9</v>
      </c>
      <c r="H107" s="11">
        <f t="shared" si="18"/>
        <v>572.20000000000005</v>
      </c>
      <c r="I107" s="11">
        <f t="shared" si="18"/>
        <v>595</v>
      </c>
      <c r="J107" s="564"/>
      <c r="K107" s="557"/>
      <c r="L107" s="785"/>
      <c r="M107" s="55"/>
      <c r="N107" s="55"/>
      <c r="O107" s="55"/>
      <c r="P107" s="55"/>
    </row>
    <row r="108" spans="1:16" ht="102">
      <c r="A108" s="44" t="s">
        <v>229</v>
      </c>
      <c r="B108" s="61">
        <v>220</v>
      </c>
      <c r="C108" s="75" t="s">
        <v>426</v>
      </c>
      <c r="D108" s="75" t="s">
        <v>368</v>
      </c>
      <c r="E108" s="75" t="s">
        <v>206</v>
      </c>
      <c r="F108" s="75"/>
      <c r="G108" s="11">
        <f t="shared" si="18"/>
        <v>795.9</v>
      </c>
      <c r="H108" s="11">
        <f t="shared" si="18"/>
        <v>572.20000000000005</v>
      </c>
      <c r="I108" s="11">
        <f t="shared" si="18"/>
        <v>595</v>
      </c>
      <c r="J108" s="564"/>
      <c r="K108" s="557"/>
      <c r="L108" s="785"/>
      <c r="M108" s="55"/>
      <c r="N108" s="55"/>
      <c r="O108" s="55"/>
      <c r="P108" s="55"/>
    </row>
    <row r="109" spans="1:16" ht="38.25">
      <c r="A109" s="17" t="s">
        <v>374</v>
      </c>
      <c r="B109" s="61">
        <v>220</v>
      </c>
      <c r="C109" s="75" t="s">
        <v>426</v>
      </c>
      <c r="D109" s="75" t="s">
        <v>368</v>
      </c>
      <c r="E109" s="75" t="s">
        <v>206</v>
      </c>
      <c r="F109" s="75" t="s">
        <v>375</v>
      </c>
      <c r="G109" s="11">
        <f>SUM(G110:G111)</f>
        <v>795.9</v>
      </c>
      <c r="H109" s="11">
        <f>SUM(H111:H111)</f>
        <v>572.20000000000005</v>
      </c>
      <c r="I109" s="11">
        <f>SUM(I111:I111)</f>
        <v>595</v>
      </c>
      <c r="J109" s="586"/>
      <c r="K109" s="45"/>
      <c r="L109" s="875"/>
      <c r="N109" s="872"/>
      <c r="O109" s="872"/>
      <c r="P109" s="872"/>
    </row>
    <row r="110" spans="1:16" ht="51">
      <c r="A110" s="417" t="s">
        <v>230</v>
      </c>
      <c r="B110" s="415">
        <v>220</v>
      </c>
      <c r="C110" s="416" t="s">
        <v>426</v>
      </c>
      <c r="D110" s="416" t="s">
        <v>368</v>
      </c>
      <c r="E110" s="416" t="s">
        <v>206</v>
      </c>
      <c r="F110" s="416" t="s">
        <v>375</v>
      </c>
      <c r="G110" s="892">
        <f ca="1">рБлагоус!J21</f>
        <v>281</v>
      </c>
      <c r="H110" s="414">
        <f ca="1">Доходы!D85</f>
        <v>292.2</v>
      </c>
      <c r="I110" s="414">
        <f ca="1">Доходы!E85</f>
        <v>303.89999999999998</v>
      </c>
      <c r="J110" s="586"/>
      <c r="K110" s="561" t="s">
        <v>770</v>
      </c>
      <c r="L110" s="878"/>
      <c r="M110" s="557"/>
      <c r="N110" s="557"/>
      <c r="O110" s="557"/>
      <c r="P110" s="557"/>
    </row>
    <row r="111" spans="1:16" ht="51">
      <c r="A111" s="417" t="s">
        <v>771</v>
      </c>
      <c r="B111" s="415">
        <v>220</v>
      </c>
      <c r="C111" s="416" t="s">
        <v>426</v>
      </c>
      <c r="D111" s="416" t="s">
        <v>368</v>
      </c>
      <c r="E111" s="416" t="s">
        <v>206</v>
      </c>
      <c r="F111" s="416" t="s">
        <v>375</v>
      </c>
      <c r="G111" s="892">
        <f ca="1">рБлагоус!J14</f>
        <v>514.9</v>
      </c>
      <c r="H111" s="414">
        <f ca="1">Доходы!D86</f>
        <v>572.20000000000005</v>
      </c>
      <c r="I111" s="414">
        <f ca="1">Доходы!E86</f>
        <v>595</v>
      </c>
      <c r="J111" s="555"/>
      <c r="K111" s="54"/>
    </row>
    <row r="112" spans="1:16">
      <c r="A112" s="867" t="s">
        <v>389</v>
      </c>
      <c r="B112" s="868">
        <v>220</v>
      </c>
      <c r="C112" s="869" t="s">
        <v>426</v>
      </c>
      <c r="D112" s="869" t="s">
        <v>368</v>
      </c>
      <c r="E112" s="869" t="s">
        <v>390</v>
      </c>
      <c r="F112" s="869"/>
      <c r="G112" s="870">
        <f>G113+G115</f>
        <v>0</v>
      </c>
      <c r="H112" s="870">
        <f>H113+H115</f>
        <v>0</v>
      </c>
      <c r="I112" s="870">
        <f>I113+I115</f>
        <v>0</v>
      </c>
      <c r="J112" s="568"/>
      <c r="K112" s="560"/>
    </row>
    <row r="113" spans="1:20" ht="25.5">
      <c r="A113" s="871" t="s">
        <v>107</v>
      </c>
      <c r="B113" s="868">
        <v>220</v>
      </c>
      <c r="C113" s="869" t="s">
        <v>426</v>
      </c>
      <c r="D113" s="869" t="s">
        <v>368</v>
      </c>
      <c r="E113" s="869" t="s">
        <v>105</v>
      </c>
      <c r="F113" s="869"/>
      <c r="G113" s="870">
        <f>G114</f>
        <v>0</v>
      </c>
      <c r="H113" s="870">
        <f t="shared" ref="H113:I115" si="19">H114</f>
        <v>0</v>
      </c>
      <c r="I113" s="870">
        <f t="shared" si="19"/>
        <v>0</v>
      </c>
      <c r="J113" s="568"/>
      <c r="K113" s="560"/>
    </row>
    <row r="114" spans="1:20" ht="38.25">
      <c r="A114" s="871" t="s">
        <v>374</v>
      </c>
      <c r="B114" s="868">
        <v>220</v>
      </c>
      <c r="C114" s="869" t="s">
        <v>426</v>
      </c>
      <c r="D114" s="869" t="s">
        <v>368</v>
      </c>
      <c r="E114" s="869" t="s">
        <v>105</v>
      </c>
      <c r="F114" s="869" t="s">
        <v>375</v>
      </c>
      <c r="G114" s="870">
        <f ca="1">сБлагоуст!H66</f>
        <v>0</v>
      </c>
      <c r="H114" s="870">
        <v>0</v>
      </c>
      <c r="I114" s="870">
        <v>0</v>
      </c>
      <c r="J114" s="568"/>
      <c r="K114" s="560"/>
    </row>
    <row r="115" spans="1:20" ht="25.5">
      <c r="A115" s="871" t="s">
        <v>115</v>
      </c>
      <c r="B115" s="868">
        <v>220</v>
      </c>
      <c r="C115" s="869" t="s">
        <v>426</v>
      </c>
      <c r="D115" s="869" t="s">
        <v>368</v>
      </c>
      <c r="E115" s="869" t="s">
        <v>122</v>
      </c>
      <c r="F115" s="869"/>
      <c r="G115" s="870">
        <f>G116</f>
        <v>0</v>
      </c>
      <c r="H115" s="870">
        <f t="shared" si="19"/>
        <v>0</v>
      </c>
      <c r="I115" s="870">
        <f t="shared" si="19"/>
        <v>0</v>
      </c>
      <c r="J115" s="568"/>
      <c r="K115" s="560"/>
    </row>
    <row r="116" spans="1:20" ht="38.25">
      <c r="A116" s="871" t="s">
        <v>374</v>
      </c>
      <c r="B116" s="868">
        <v>220</v>
      </c>
      <c r="C116" s="869" t="s">
        <v>426</v>
      </c>
      <c r="D116" s="869" t="s">
        <v>368</v>
      </c>
      <c r="E116" s="869" t="s">
        <v>122</v>
      </c>
      <c r="F116" s="869" t="s">
        <v>375</v>
      </c>
      <c r="G116" s="870">
        <f ca="1">рБлагоус!J36</f>
        <v>0</v>
      </c>
      <c r="H116" s="870">
        <v>0</v>
      </c>
      <c r="I116" s="870">
        <v>0</v>
      </c>
      <c r="J116" s="586"/>
      <c r="K116" s="45"/>
      <c r="L116" s="875"/>
      <c r="M116" s="872"/>
      <c r="N116" s="872"/>
      <c r="O116" s="872"/>
      <c r="P116" s="872"/>
    </row>
    <row r="117" spans="1:20" ht="25.5">
      <c r="A117" s="81" t="s">
        <v>432</v>
      </c>
      <c r="B117" s="72">
        <v>220</v>
      </c>
      <c r="C117" s="73" t="s">
        <v>426</v>
      </c>
      <c r="D117" s="73" t="s">
        <v>426</v>
      </c>
      <c r="E117" s="73"/>
      <c r="F117" s="73"/>
      <c r="G117" s="20">
        <f>G118</f>
        <v>92.5</v>
      </c>
      <c r="H117" s="20">
        <f t="shared" ref="H117:I119" si="20">H118</f>
        <v>94.5</v>
      </c>
      <c r="I117" s="20">
        <f t="shared" si="20"/>
        <v>96.6</v>
      </c>
      <c r="J117" s="568"/>
      <c r="K117" s="560"/>
    </row>
    <row r="118" spans="1:20">
      <c r="A118" s="44" t="s">
        <v>389</v>
      </c>
      <c r="B118" s="61">
        <v>220</v>
      </c>
      <c r="C118" s="75" t="s">
        <v>426</v>
      </c>
      <c r="D118" s="75" t="s">
        <v>426</v>
      </c>
      <c r="E118" s="75" t="s">
        <v>390</v>
      </c>
      <c r="F118" s="75"/>
      <c r="G118" s="11">
        <f>G119+G121</f>
        <v>92.5</v>
      </c>
      <c r="H118" s="11">
        <f>H119+H121</f>
        <v>94.5</v>
      </c>
      <c r="I118" s="11">
        <f>I119+I121</f>
        <v>96.6</v>
      </c>
      <c r="J118" s="568"/>
      <c r="K118" s="560"/>
    </row>
    <row r="119" spans="1:20" ht="25.5">
      <c r="A119" s="17" t="s">
        <v>347</v>
      </c>
      <c r="B119" s="61">
        <v>220</v>
      </c>
      <c r="C119" s="75" t="s">
        <v>426</v>
      </c>
      <c r="D119" s="75" t="s">
        <v>426</v>
      </c>
      <c r="E119" s="75" t="s">
        <v>207</v>
      </c>
      <c r="F119" s="75"/>
      <c r="G119" s="11">
        <f>G120</f>
        <v>50.5</v>
      </c>
      <c r="H119" s="11">
        <f t="shared" si="20"/>
        <v>52.5</v>
      </c>
      <c r="I119" s="11">
        <f t="shared" si="20"/>
        <v>54.6</v>
      </c>
      <c r="J119" s="568"/>
      <c r="K119" s="560"/>
    </row>
    <row r="120" spans="1:20">
      <c r="A120" s="17" t="s">
        <v>385</v>
      </c>
      <c r="B120" s="61">
        <v>220</v>
      </c>
      <c r="C120" s="75" t="s">
        <v>426</v>
      </c>
      <c r="D120" s="75" t="s">
        <v>426</v>
      </c>
      <c r="E120" s="75" t="s">
        <v>207</v>
      </c>
      <c r="F120" s="75" t="s">
        <v>386</v>
      </c>
      <c r="G120" s="11">
        <f ca="1">сРитуал!H65</f>
        <v>50.5</v>
      </c>
      <c r="H120" s="11">
        <f ca="1">Доходы!D92</f>
        <v>52.5</v>
      </c>
      <c r="I120" s="11">
        <f ca="1">Доходы!E92</f>
        <v>54.6</v>
      </c>
      <c r="J120" s="568"/>
      <c r="K120" s="561"/>
      <c r="L120" s="880"/>
      <c r="N120" s="90"/>
      <c r="O120" s="90"/>
      <c r="P120" s="90"/>
      <c r="Q120" s="90"/>
      <c r="R120" s="90"/>
      <c r="S120" s="90"/>
      <c r="T120" s="90"/>
    </row>
    <row r="121" spans="1:20" ht="38.25">
      <c r="A121" s="17" t="s">
        <v>882</v>
      </c>
      <c r="B121" s="61">
        <v>220</v>
      </c>
      <c r="C121" s="75" t="s">
        <v>426</v>
      </c>
      <c r="D121" s="75" t="s">
        <v>426</v>
      </c>
      <c r="E121" s="75" t="s">
        <v>880</v>
      </c>
      <c r="F121" s="75"/>
      <c r="G121" s="11">
        <f ca="1">G122</f>
        <v>42</v>
      </c>
      <c r="H121" s="11">
        <f>H122</f>
        <v>42</v>
      </c>
      <c r="I121" s="11">
        <f>I122</f>
        <v>42</v>
      </c>
      <c r="J121" s="568"/>
      <c r="K121" s="561"/>
      <c r="L121" s="881"/>
      <c r="M121" s="838"/>
      <c r="N121" s="838"/>
      <c r="O121" s="838"/>
      <c r="P121" s="838"/>
      <c r="Q121" s="838"/>
      <c r="R121" s="90"/>
      <c r="S121" s="90"/>
      <c r="T121" s="90"/>
    </row>
    <row r="122" spans="1:20">
      <c r="A122" s="17" t="s">
        <v>385</v>
      </c>
      <c r="B122" s="61">
        <v>220</v>
      </c>
      <c r="C122" s="75" t="s">
        <v>426</v>
      </c>
      <c r="D122" s="75" t="s">
        <v>426</v>
      </c>
      <c r="E122" s="75" t="s">
        <v>880</v>
      </c>
      <c r="F122" s="75" t="s">
        <v>386</v>
      </c>
      <c r="G122" s="11">
        <f ca="1">сРитуал!H66</f>
        <v>42</v>
      </c>
      <c r="H122" s="11">
        <v>42</v>
      </c>
      <c r="I122" s="11">
        <v>42</v>
      </c>
      <c r="J122" s="568"/>
      <c r="K122" s="560"/>
      <c r="L122" s="880"/>
      <c r="N122" s="90"/>
      <c r="O122" s="90"/>
      <c r="P122" s="90"/>
      <c r="Q122" s="90"/>
      <c r="R122" s="90"/>
      <c r="S122" s="90"/>
      <c r="T122" s="90"/>
    </row>
    <row r="123" spans="1:20" ht="15">
      <c r="A123" s="37" t="s">
        <v>433</v>
      </c>
      <c r="B123" s="79">
        <v>220</v>
      </c>
      <c r="C123" s="82" t="s">
        <v>417</v>
      </c>
      <c r="D123" s="82"/>
      <c r="E123" s="82"/>
      <c r="F123" s="82"/>
      <c r="G123" s="83">
        <f>G124+G129</f>
        <v>2885.4</v>
      </c>
      <c r="H123" s="83">
        <f>H124+H129</f>
        <v>2885.4</v>
      </c>
      <c r="I123" s="83">
        <f>I124+I129</f>
        <v>2885.4</v>
      </c>
      <c r="J123" s="569"/>
      <c r="K123" s="608"/>
      <c r="Q123" s="76"/>
      <c r="R123" s="76"/>
      <c r="S123" s="85"/>
    </row>
    <row r="124" spans="1:20">
      <c r="A124" s="64" t="s">
        <v>434</v>
      </c>
      <c r="B124" s="72">
        <v>220</v>
      </c>
      <c r="C124" s="86" t="s">
        <v>417</v>
      </c>
      <c r="D124" s="86" t="s">
        <v>358</v>
      </c>
      <c r="E124" s="87"/>
      <c r="F124" s="87"/>
      <c r="G124" s="88">
        <f>G125</f>
        <v>2885.4</v>
      </c>
      <c r="H124" s="88">
        <f>H125</f>
        <v>2885.4</v>
      </c>
      <c r="I124" s="88">
        <f>I125</f>
        <v>2885.4</v>
      </c>
      <c r="J124" s="569"/>
      <c r="K124" s="557"/>
      <c r="Q124" s="76"/>
      <c r="R124" s="76"/>
      <c r="S124" s="85"/>
    </row>
    <row r="125" spans="1:20" ht="63.75">
      <c r="A125" s="44" t="s">
        <v>210</v>
      </c>
      <c r="B125" s="61">
        <v>220</v>
      </c>
      <c r="C125" s="75" t="s">
        <v>417</v>
      </c>
      <c r="D125" s="75" t="s">
        <v>358</v>
      </c>
      <c r="E125" s="75" t="s">
        <v>378</v>
      </c>
      <c r="F125" s="86"/>
      <c r="G125" s="26">
        <f t="shared" ref="G125:I127" si="21">G126</f>
        <v>2885.4</v>
      </c>
      <c r="H125" s="26">
        <f t="shared" si="21"/>
        <v>2885.4</v>
      </c>
      <c r="I125" s="26">
        <f t="shared" si="21"/>
        <v>2885.4</v>
      </c>
      <c r="J125" s="569"/>
      <c r="K125" s="557"/>
      <c r="Q125" s="76"/>
      <c r="R125" s="76"/>
      <c r="S125" s="85"/>
    </row>
    <row r="126" spans="1:20" ht="51">
      <c r="A126" s="44" t="s">
        <v>379</v>
      </c>
      <c r="B126" s="61">
        <v>220</v>
      </c>
      <c r="C126" s="75" t="s">
        <v>417</v>
      </c>
      <c r="D126" s="75" t="s">
        <v>358</v>
      </c>
      <c r="E126" s="75" t="s">
        <v>380</v>
      </c>
      <c r="F126" s="9"/>
      <c r="G126" s="26">
        <f t="shared" si="21"/>
        <v>2885.4</v>
      </c>
      <c r="H126" s="26">
        <f t="shared" si="21"/>
        <v>2885.4</v>
      </c>
      <c r="I126" s="26">
        <f t="shared" si="21"/>
        <v>2885.4</v>
      </c>
      <c r="J126" s="569"/>
      <c r="K126" s="557"/>
    </row>
    <row r="127" spans="1:20" s="55" customFormat="1" ht="76.5">
      <c r="A127" s="44" t="s">
        <v>251</v>
      </c>
      <c r="B127" s="61">
        <v>220</v>
      </c>
      <c r="C127" s="75" t="s">
        <v>417</v>
      </c>
      <c r="D127" s="75" t="s">
        <v>358</v>
      </c>
      <c r="E127" s="75" t="s">
        <v>197</v>
      </c>
      <c r="F127" s="9"/>
      <c r="G127" s="890">
        <f t="shared" si="21"/>
        <v>2885.4</v>
      </c>
      <c r="H127" s="26">
        <f t="shared" si="21"/>
        <v>2885.4</v>
      </c>
      <c r="I127" s="26">
        <f t="shared" si="21"/>
        <v>2885.4</v>
      </c>
      <c r="J127" s="889"/>
      <c r="K127" s="557"/>
      <c r="L127" s="785"/>
    </row>
    <row r="128" spans="1:20" ht="25.5">
      <c r="A128" s="17" t="s">
        <v>435</v>
      </c>
      <c r="B128" s="61">
        <v>220</v>
      </c>
      <c r="C128" s="9" t="s">
        <v>417</v>
      </c>
      <c r="D128" s="9" t="s">
        <v>358</v>
      </c>
      <c r="E128" s="75" t="s">
        <v>381</v>
      </c>
      <c r="F128" s="9" t="s">
        <v>436</v>
      </c>
      <c r="G128" s="26">
        <f ca="1">сПенс!H65</f>
        <v>2885.4</v>
      </c>
      <c r="H128" s="11">
        <f ca="1">Доходы!D82</f>
        <v>2885.4</v>
      </c>
      <c r="I128" s="11">
        <f ca="1">Доходы!E82</f>
        <v>2885.4</v>
      </c>
      <c r="J128" s="564"/>
      <c r="K128" s="557"/>
    </row>
    <row r="129" spans="1:11" ht="25.5" hidden="1" customHeight="1">
      <c r="A129" s="64" t="s">
        <v>824</v>
      </c>
      <c r="B129" s="72">
        <v>220</v>
      </c>
      <c r="C129" s="86" t="s">
        <v>417</v>
      </c>
      <c r="D129" s="86" t="s">
        <v>388</v>
      </c>
      <c r="E129" s="87"/>
      <c r="F129" s="87"/>
      <c r="G129" s="88">
        <f>G130</f>
        <v>0</v>
      </c>
      <c r="H129" s="88">
        <f>H130</f>
        <v>0</v>
      </c>
      <c r="I129" s="88">
        <f>I130</f>
        <v>0</v>
      </c>
      <c r="J129" s="569"/>
      <c r="K129" s="557"/>
    </row>
    <row r="130" spans="1:11" ht="12.75" hidden="1" customHeight="1">
      <c r="A130" s="17" t="s">
        <v>389</v>
      </c>
      <c r="B130" s="61">
        <v>220</v>
      </c>
      <c r="C130" s="9" t="s">
        <v>417</v>
      </c>
      <c r="D130" s="9" t="s">
        <v>388</v>
      </c>
      <c r="E130" s="89" t="s">
        <v>390</v>
      </c>
      <c r="F130" s="86"/>
      <c r="G130" s="26">
        <f>G131+G133</f>
        <v>0</v>
      </c>
      <c r="H130" s="26">
        <f>H131+H133</f>
        <v>0</v>
      </c>
      <c r="I130" s="26">
        <f>I131+I133</f>
        <v>0</v>
      </c>
      <c r="J130" s="569"/>
      <c r="K130" s="557"/>
    </row>
    <row r="131" spans="1:11" ht="114.75" hidden="1" customHeight="1">
      <c r="A131" s="44" t="s">
        <v>825</v>
      </c>
      <c r="B131" s="61">
        <v>220</v>
      </c>
      <c r="C131" s="9" t="s">
        <v>417</v>
      </c>
      <c r="D131" s="9" t="s">
        <v>388</v>
      </c>
      <c r="E131" s="75" t="s">
        <v>804</v>
      </c>
      <c r="F131" s="9"/>
      <c r="G131" s="26">
        <f>G132</f>
        <v>0</v>
      </c>
      <c r="H131" s="26">
        <f>H132</f>
        <v>0</v>
      </c>
      <c r="I131" s="26">
        <f>I132</f>
        <v>0</v>
      </c>
      <c r="J131" s="569"/>
      <c r="K131" s="557"/>
    </row>
    <row r="132" spans="1:11" ht="38.25" hidden="1" customHeight="1">
      <c r="A132" s="17" t="s">
        <v>374</v>
      </c>
      <c r="B132" s="61">
        <v>220</v>
      </c>
      <c r="C132" s="9" t="s">
        <v>417</v>
      </c>
      <c r="D132" s="9" t="s">
        <v>388</v>
      </c>
      <c r="E132" s="75" t="s">
        <v>804</v>
      </c>
      <c r="F132" s="9" t="s">
        <v>375</v>
      </c>
      <c r="G132" s="26">
        <f ca="1">рНадгроб!H9</f>
        <v>0</v>
      </c>
      <c r="H132" s="11">
        <v>0</v>
      </c>
      <c r="I132" s="11">
        <v>0</v>
      </c>
      <c r="J132" s="569"/>
      <c r="K132" s="557"/>
    </row>
    <row r="133" spans="1:11" ht="76.5" hidden="1" customHeight="1">
      <c r="A133" s="44" t="s">
        <v>883</v>
      </c>
      <c r="B133" s="61">
        <v>220</v>
      </c>
      <c r="C133" s="9" t="s">
        <v>417</v>
      </c>
      <c r="D133" s="9" t="s">
        <v>388</v>
      </c>
      <c r="E133" s="75" t="s">
        <v>892</v>
      </c>
      <c r="F133" s="9"/>
      <c r="G133" s="26">
        <f ca="1">G134</f>
        <v>0</v>
      </c>
      <c r="H133" s="26">
        <f>H134</f>
        <v>0</v>
      </c>
      <c r="I133" s="26">
        <f>I134</f>
        <v>0</v>
      </c>
      <c r="J133" s="569"/>
      <c r="K133" s="557"/>
    </row>
    <row r="134" spans="1:11" ht="38.25" hidden="1" customHeight="1">
      <c r="A134" s="17" t="s">
        <v>374</v>
      </c>
      <c r="B134" s="61">
        <v>220</v>
      </c>
      <c r="C134" s="9" t="s">
        <v>417</v>
      </c>
      <c r="D134" s="9" t="s">
        <v>388</v>
      </c>
      <c r="E134" s="75" t="s">
        <v>892</v>
      </c>
      <c r="F134" s="9" t="s">
        <v>375</v>
      </c>
      <c r="G134" s="26">
        <f ca="1">рНадгроб!H10</f>
        <v>0</v>
      </c>
      <c r="H134" s="11">
        <v>0</v>
      </c>
      <c r="I134" s="11">
        <v>0</v>
      </c>
      <c r="J134" s="570"/>
      <c r="K134" s="561"/>
    </row>
    <row r="135" spans="1:11">
      <c r="A135" s="90"/>
      <c r="B135" s="91"/>
      <c r="C135" s="92"/>
      <c r="D135" s="92"/>
      <c r="E135" s="92"/>
      <c r="F135" s="908"/>
      <c r="G135" s="908"/>
      <c r="H135" s="93"/>
      <c r="I135" s="84"/>
      <c r="J135" s="84"/>
      <c r="K135" s="557"/>
    </row>
    <row r="136" spans="1:11">
      <c r="A136" s="90"/>
      <c r="B136" s="91"/>
      <c r="C136" s="92"/>
      <c r="D136" s="92"/>
      <c r="E136" s="92"/>
      <c r="F136" s="94"/>
      <c r="G136" s="831"/>
      <c r="H136" s="95"/>
      <c r="I136" s="84"/>
      <c r="J136" s="84"/>
    </row>
    <row r="137" spans="1:11">
      <c r="A137" s="90"/>
      <c r="B137" s="91"/>
      <c r="C137" s="92"/>
      <c r="D137" s="92"/>
      <c r="E137" s="92"/>
      <c r="F137" s="92"/>
      <c r="G137" s="45"/>
      <c r="H137" s="84"/>
      <c r="I137" s="84"/>
      <c r="J137" s="84"/>
    </row>
    <row r="138" spans="1:11">
      <c r="A138" s="90"/>
      <c r="B138" s="91"/>
      <c r="C138" s="92"/>
      <c r="D138" s="92"/>
      <c r="E138" s="92"/>
      <c r="F138" s="92"/>
      <c r="G138" s="45"/>
      <c r="H138" s="84"/>
      <c r="I138" s="84"/>
      <c r="J138" s="84"/>
    </row>
    <row r="139" spans="1:11">
      <c r="A139" s="90"/>
      <c r="B139" s="90"/>
      <c r="C139" s="92"/>
      <c r="D139" s="92"/>
      <c r="E139" s="92"/>
      <c r="F139" s="92"/>
      <c r="G139" s="45"/>
      <c r="H139" s="84"/>
      <c r="I139" s="84"/>
      <c r="J139" s="84"/>
    </row>
    <row r="140" spans="1:11">
      <c r="A140" s="90"/>
      <c r="B140" s="90"/>
      <c r="C140" s="92"/>
      <c r="D140" s="92"/>
      <c r="E140" s="92"/>
      <c r="F140" s="92"/>
      <c r="G140" s="45"/>
      <c r="H140" s="84"/>
      <c r="I140" s="84"/>
      <c r="J140" s="84"/>
    </row>
    <row r="141" spans="1:11">
      <c r="A141" s="90"/>
      <c r="B141" s="90"/>
      <c r="C141" s="92"/>
      <c r="D141" s="92"/>
      <c r="E141" s="92"/>
      <c r="F141" s="92"/>
      <c r="G141" s="45"/>
      <c r="H141" s="84"/>
      <c r="I141" s="84"/>
      <c r="J141" s="84"/>
    </row>
    <row r="142" spans="1:11">
      <c r="A142" s="90"/>
      <c r="B142" s="90"/>
      <c r="C142" s="92"/>
      <c r="D142" s="92"/>
      <c r="E142" s="92"/>
      <c r="F142" s="92"/>
      <c r="G142" s="45"/>
      <c r="H142" s="84"/>
      <c r="I142" s="84"/>
      <c r="J142" s="84"/>
    </row>
    <row r="143" spans="1:11">
      <c r="A143" s="90"/>
      <c r="B143" s="90"/>
      <c r="C143" s="92"/>
      <c r="D143" s="92"/>
      <c r="E143" s="92"/>
      <c r="F143" s="92"/>
      <c r="G143" s="45"/>
      <c r="H143" s="84"/>
      <c r="I143" s="84"/>
      <c r="J143" s="84"/>
    </row>
    <row r="144" spans="1:11">
      <c r="A144" s="90"/>
      <c r="B144" s="90"/>
      <c r="C144" s="92"/>
      <c r="D144" s="92"/>
      <c r="E144" s="92"/>
      <c r="F144" s="92"/>
      <c r="G144" s="45"/>
      <c r="H144" s="84"/>
      <c r="I144" s="84"/>
      <c r="J144" s="84"/>
    </row>
    <row r="145" spans="1:10">
      <c r="A145" s="90"/>
      <c r="B145" s="90"/>
      <c r="C145" s="92"/>
      <c r="D145" s="92"/>
      <c r="E145" s="92"/>
      <c r="F145" s="92"/>
      <c r="G145" s="45"/>
      <c r="H145" s="84"/>
      <c r="I145" s="84"/>
      <c r="J145" s="84"/>
    </row>
    <row r="146" spans="1:10">
      <c r="C146" s="92"/>
      <c r="D146" s="92"/>
      <c r="E146" s="92"/>
      <c r="F146" s="92"/>
      <c r="G146" s="45"/>
      <c r="H146" s="84"/>
      <c r="I146" s="84"/>
      <c r="J146" s="84"/>
    </row>
    <row r="147" spans="1:10">
      <c r="C147" s="96"/>
      <c r="D147" s="96"/>
      <c r="E147" s="96"/>
      <c r="F147" s="96"/>
      <c r="G147" s="77"/>
      <c r="H147" s="97"/>
      <c r="I147" s="97"/>
      <c r="J147" s="556"/>
    </row>
    <row r="148" spans="1:10">
      <c r="C148" s="96"/>
      <c r="D148" s="96"/>
      <c r="E148" s="96"/>
      <c r="F148" s="96"/>
      <c r="G148" s="77"/>
      <c r="H148" s="97"/>
      <c r="I148" s="97"/>
      <c r="J148" s="556"/>
    </row>
    <row r="149" spans="1:10">
      <c r="C149" s="57"/>
      <c r="D149" s="57"/>
      <c r="E149" s="57"/>
      <c r="F149" s="57"/>
    </row>
    <row r="150" spans="1:10">
      <c r="C150" s="57"/>
      <c r="D150" s="57"/>
      <c r="E150" s="57"/>
      <c r="F150" s="57"/>
    </row>
    <row r="151" spans="1:10">
      <c r="C151" s="57"/>
      <c r="D151" s="57"/>
      <c r="E151" s="57"/>
      <c r="F151" s="57"/>
    </row>
    <row r="152" spans="1:10">
      <c r="C152" s="57"/>
      <c r="D152" s="57"/>
      <c r="E152" s="57"/>
      <c r="F152" s="57"/>
    </row>
    <row r="153" spans="1:10">
      <c r="C153" s="57"/>
      <c r="D153" s="57"/>
      <c r="E153" s="57"/>
      <c r="F153" s="57"/>
    </row>
    <row r="154" spans="1:10">
      <c r="C154" s="57"/>
      <c r="D154" s="57"/>
      <c r="E154" s="57"/>
      <c r="F154" s="57"/>
    </row>
    <row r="155" spans="1:10">
      <c r="C155" s="57"/>
      <c r="D155" s="57"/>
      <c r="E155" s="57"/>
      <c r="F155" s="57"/>
    </row>
    <row r="156" spans="1:10">
      <c r="C156" s="57"/>
      <c r="D156" s="57"/>
      <c r="E156" s="57"/>
      <c r="F156" s="57"/>
    </row>
    <row r="157" spans="1:10">
      <c r="C157" s="57"/>
      <c r="D157" s="57"/>
      <c r="E157" s="57"/>
      <c r="F157" s="57"/>
    </row>
    <row r="158" spans="1:10">
      <c r="C158" s="57"/>
      <c r="D158" s="57"/>
      <c r="E158" s="57"/>
      <c r="F158" s="57"/>
    </row>
    <row r="159" spans="1:10">
      <c r="C159" s="57"/>
      <c r="D159" s="57"/>
      <c r="E159" s="57"/>
      <c r="F159" s="57"/>
    </row>
    <row r="160" spans="1:10">
      <c r="C160" s="57"/>
      <c r="D160" s="57"/>
      <c r="E160" s="57"/>
      <c r="F160" s="57"/>
    </row>
    <row r="161" spans="3:6">
      <c r="C161" s="57"/>
      <c r="D161" s="57"/>
      <c r="E161" s="57"/>
      <c r="F161" s="57"/>
    </row>
    <row r="162" spans="3:6">
      <c r="C162" s="57"/>
      <c r="D162" s="57"/>
      <c r="E162" s="57"/>
      <c r="F162" s="57"/>
    </row>
    <row r="163" spans="3:6">
      <c r="C163" s="57"/>
      <c r="D163" s="57"/>
      <c r="E163" s="57"/>
      <c r="F163" s="57"/>
    </row>
    <row r="164" spans="3:6">
      <c r="C164" s="57"/>
      <c r="D164" s="57"/>
      <c r="E164" s="57"/>
      <c r="F164" s="57"/>
    </row>
    <row r="165" spans="3:6">
      <c r="C165" s="57"/>
      <c r="D165" s="57"/>
      <c r="E165" s="57"/>
      <c r="F165" s="57"/>
    </row>
    <row r="166" spans="3:6">
      <c r="C166" s="57"/>
      <c r="D166" s="57"/>
      <c r="E166" s="57"/>
      <c r="F166" s="57"/>
    </row>
    <row r="167" spans="3:6">
      <c r="C167" s="57"/>
      <c r="D167" s="57"/>
      <c r="E167" s="57"/>
      <c r="F167" s="57"/>
    </row>
    <row r="168" spans="3:6">
      <c r="C168" s="57"/>
      <c r="D168" s="57"/>
      <c r="E168" s="57"/>
      <c r="F168" s="57"/>
    </row>
    <row r="169" spans="3:6">
      <c r="C169" s="57"/>
      <c r="D169" s="57"/>
      <c r="E169" s="57"/>
      <c r="F169" s="57"/>
    </row>
    <row r="170" spans="3:6">
      <c r="C170" s="57"/>
      <c r="D170" s="57"/>
      <c r="E170" s="57"/>
      <c r="F170" s="57"/>
    </row>
    <row r="171" spans="3:6">
      <c r="C171" s="57"/>
      <c r="D171" s="57"/>
      <c r="E171" s="57"/>
      <c r="F171" s="57"/>
    </row>
    <row r="172" spans="3:6">
      <c r="C172" s="57"/>
      <c r="D172" s="57"/>
      <c r="E172" s="57"/>
      <c r="F172" s="57"/>
    </row>
    <row r="173" spans="3:6">
      <c r="C173" s="57"/>
      <c r="D173" s="57"/>
      <c r="E173" s="57"/>
      <c r="F173" s="57"/>
    </row>
    <row r="174" spans="3:6">
      <c r="C174" s="57"/>
      <c r="D174" s="57"/>
      <c r="E174" s="57"/>
      <c r="F174" s="57"/>
    </row>
  </sheetData>
  <mergeCells count="13">
    <mergeCell ref="H7:I7"/>
    <mergeCell ref="A7:A8"/>
    <mergeCell ref="B7:B8"/>
    <mergeCell ref="C7:C8"/>
    <mergeCell ref="D7:D8"/>
    <mergeCell ref="E7:E8"/>
    <mergeCell ref="F135:G135"/>
    <mergeCell ref="G1:I1"/>
    <mergeCell ref="A4:I4"/>
    <mergeCell ref="A5:I5"/>
    <mergeCell ref="A6:I6"/>
    <mergeCell ref="F7:F8"/>
    <mergeCell ref="G7:G8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7"/>
  <sheetViews>
    <sheetView showZeros="0" topLeftCell="A44" workbookViewId="0">
      <selection activeCell="I16" sqref="I16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17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7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7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7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7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4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4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</row>
    <row r="12" spans="1:9" s="170" customFormat="1">
      <c r="A12" s="1041" t="s">
        <v>772</v>
      </c>
      <c r="B12" s="1041"/>
      <c r="C12" s="1041"/>
      <c r="D12" s="1041"/>
      <c r="E12" s="1041"/>
      <c r="F12" s="1041"/>
      <c r="G12" s="1041"/>
      <c r="H12" s="1041"/>
      <c r="I12" s="574"/>
    </row>
    <row r="13" spans="1:9" s="170" customFormat="1" ht="6" customHeight="1">
      <c r="E13" s="722"/>
      <c r="F13" s="722"/>
      <c r="G13" s="722"/>
      <c r="H13" s="722"/>
      <c r="I13" s="574"/>
    </row>
    <row r="14" spans="1:9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574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68"/>
    </row>
    <row r="16" spans="1:9">
      <c r="A16" s="512" t="s">
        <v>852</v>
      </c>
      <c r="B16" s="529" t="s">
        <v>358</v>
      </c>
      <c r="C16" s="529" t="s">
        <v>395</v>
      </c>
      <c r="D16" s="529" t="s">
        <v>399</v>
      </c>
      <c r="E16" s="529" t="s">
        <v>717</v>
      </c>
      <c r="F16" s="535" t="s">
        <v>375</v>
      </c>
      <c r="G16" s="511"/>
      <c r="H16" s="528">
        <f ca="1">рРезерв!H10</f>
        <v>10</v>
      </c>
      <c r="I16" s="574">
        <v>10000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733"/>
      <c r="F23" s="508">
        <v>214</v>
      </c>
      <c r="G23" s="508">
        <v>831</v>
      </c>
      <c r="H23" s="264"/>
    </row>
    <row r="24" spans="1:8">
      <c r="A24" s="513" t="s">
        <v>857</v>
      </c>
      <c r="B24" s="726"/>
      <c r="C24" s="726"/>
      <c r="D24" s="726"/>
      <c r="E24" s="726"/>
      <c r="F24" s="506">
        <v>220</v>
      </c>
      <c r="G24" s="506"/>
      <c r="H24" s="727">
        <f>H25+H26+H28+H32+H36</f>
        <v>0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8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8">
      <c r="A32" s="514" t="s">
        <v>859</v>
      </c>
      <c r="B32" s="728"/>
      <c r="C32" s="728"/>
      <c r="D32" s="728"/>
      <c r="E32" s="728"/>
      <c r="F32" s="507">
        <v>225</v>
      </c>
      <c r="G32" s="507"/>
      <c r="H32" s="730">
        <f>SUM(H33:H35)</f>
        <v>0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/>
      <c r="C34" s="732"/>
      <c r="D34" s="732"/>
      <c r="E34" s="732"/>
      <c r="F34" s="508">
        <v>225</v>
      </c>
      <c r="G34" s="508" t="s">
        <v>583</v>
      </c>
      <c r="H34" s="264"/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>SUM(H37:H43)</f>
        <v>0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69"/>
    </row>
    <row r="38" spans="1:9">
      <c r="A38" s="515" t="s">
        <v>586</v>
      </c>
      <c r="B38" s="732"/>
      <c r="C38" s="732"/>
      <c r="D38" s="732"/>
      <c r="E38" s="732"/>
      <c r="F38" s="508">
        <v>226</v>
      </c>
      <c r="G38" s="508" t="s">
        <v>587</v>
      </c>
      <c r="H38" s="264"/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733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737"/>
      <c r="C48" s="737"/>
      <c r="D48" s="737"/>
      <c r="E48" s="731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9">
      <c r="A65" s="517" t="s">
        <v>710</v>
      </c>
      <c r="B65" s="728" t="s">
        <v>358</v>
      </c>
      <c r="C65" s="728" t="s">
        <v>395</v>
      </c>
      <c r="D65" s="728" t="s">
        <v>399</v>
      </c>
      <c r="E65" s="728" t="s">
        <v>386</v>
      </c>
      <c r="F65" s="511"/>
      <c r="G65" s="511"/>
      <c r="H65" s="730">
        <f>H16</f>
        <v>10</v>
      </c>
    </row>
    <row r="66" spans="1:9">
      <c r="A66" s="519" t="s">
        <v>602</v>
      </c>
      <c r="B66" s="728" t="s">
        <v>358</v>
      </c>
      <c r="C66" s="728" t="s">
        <v>395</v>
      </c>
      <c r="D66" s="728" t="s">
        <v>708</v>
      </c>
      <c r="E66" s="728" t="s">
        <v>570</v>
      </c>
      <c r="F66" s="518"/>
      <c r="G66" s="518"/>
      <c r="H66" s="730">
        <f>H59+H16</f>
        <v>10</v>
      </c>
      <c r="I66" s="574">
        <f>SUM(I16:I64)</f>
        <v>10000</v>
      </c>
    </row>
    <row r="67" spans="1:9">
      <c r="A67" s="742"/>
      <c r="B67" s="743"/>
      <c r="C67" s="743"/>
      <c r="D67" s="743"/>
      <c r="E67" s="743"/>
      <c r="F67" s="743"/>
      <c r="G67" s="743"/>
      <c r="H67" s="744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92D050"/>
  </sheetPr>
  <dimension ref="A1:O16"/>
  <sheetViews>
    <sheetView workbookViewId="0">
      <selection activeCell="G10" sqref="G10"/>
    </sheetView>
  </sheetViews>
  <sheetFormatPr defaultRowHeight="15"/>
  <cols>
    <col min="1" max="1" width="4" style="139" customWidth="1"/>
    <col min="2" max="2" width="25" style="139" customWidth="1"/>
    <col min="3" max="3" width="7.28515625" style="139" customWidth="1"/>
    <col min="4" max="4" width="8" style="139" customWidth="1"/>
    <col min="5" max="5" width="10.28515625" style="139" customWidth="1"/>
    <col min="6" max="6" width="6.5703125" style="139" customWidth="1"/>
    <col min="7" max="8" width="10" style="139" customWidth="1"/>
    <col min="9" max="9" width="11.7109375" style="139" customWidth="1"/>
    <col min="10" max="10" width="11.5703125" style="139" customWidth="1"/>
    <col min="11" max="11" width="9.140625" style="139"/>
    <col min="12" max="12" width="10.5703125" style="139" bestFit="1" customWidth="1"/>
    <col min="13" max="13" width="9.140625" style="139"/>
    <col min="14" max="14" width="12.140625" style="139" customWidth="1"/>
    <col min="15" max="16384" width="9.140625" style="139"/>
  </cols>
  <sheetData>
    <row r="1" spans="1:15">
      <c r="A1" s="1041" t="s">
        <v>772</v>
      </c>
      <c r="B1" s="1041"/>
      <c r="C1" s="1041"/>
      <c r="D1" s="1041"/>
      <c r="E1" s="1041"/>
      <c r="F1" s="1041"/>
      <c r="G1" s="1041"/>
      <c r="H1" s="1041"/>
      <c r="I1" s="1041"/>
      <c r="J1" s="149"/>
    </row>
    <row r="3" spans="1:15" ht="15.75">
      <c r="A3" s="1003" t="s">
        <v>609</v>
      </c>
      <c r="B3" s="1003"/>
      <c r="C3" s="1003"/>
      <c r="D3" s="1003"/>
      <c r="E3" s="1003"/>
      <c r="F3" s="1003"/>
      <c r="G3" s="1003"/>
      <c r="H3" s="1003"/>
      <c r="I3" s="1003"/>
      <c r="J3" s="187"/>
    </row>
    <row r="4" spans="1:15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  <c r="I4" s="1021"/>
      <c r="J4" s="188"/>
    </row>
    <row r="6" spans="1:15">
      <c r="A6" s="663" t="s">
        <v>909</v>
      </c>
      <c r="B6" s="663"/>
      <c r="C6" s="663"/>
      <c r="D6" s="663"/>
      <c r="E6" s="663"/>
      <c r="F6" s="663"/>
      <c r="G6" s="663"/>
      <c r="H6" s="663"/>
      <c r="J6" s="169"/>
    </row>
    <row r="7" spans="1:15" ht="24" customHeight="1">
      <c r="A7" s="157" t="s">
        <v>483</v>
      </c>
      <c r="B7" s="1026" t="s">
        <v>714</v>
      </c>
      <c r="C7" s="1100"/>
      <c r="D7" s="1027"/>
      <c r="E7" s="155" t="s">
        <v>568</v>
      </c>
      <c r="F7" s="156" t="s">
        <v>614</v>
      </c>
      <c r="G7" s="184" t="s">
        <v>690</v>
      </c>
      <c r="H7" s="157" t="s">
        <v>626</v>
      </c>
    </row>
    <row r="8" spans="1:15">
      <c r="A8" s="159">
        <v>1</v>
      </c>
      <c r="B8" s="1017">
        <v>2</v>
      </c>
      <c r="C8" s="1101"/>
      <c r="D8" s="1018"/>
      <c r="E8" s="159">
        <v>3</v>
      </c>
      <c r="F8" s="159">
        <v>4</v>
      </c>
      <c r="G8" s="242">
        <v>5</v>
      </c>
      <c r="H8" s="160">
        <v>6</v>
      </c>
    </row>
    <row r="9" spans="1:15" ht="27.75" customHeight="1">
      <c r="A9" s="160">
        <v>1</v>
      </c>
      <c r="B9" s="1095" t="s">
        <v>713</v>
      </c>
      <c r="C9" s="1096"/>
      <c r="D9" s="1097"/>
      <c r="E9" s="157">
        <v>200</v>
      </c>
      <c r="F9" s="154"/>
      <c r="G9" s="267">
        <v>10000</v>
      </c>
      <c r="H9" s="207">
        <f>ROUND(G9/1000,1)</f>
        <v>10</v>
      </c>
      <c r="J9" s="170"/>
      <c r="L9" s="171"/>
    </row>
    <row r="10" spans="1:15">
      <c r="A10" s="996" t="s">
        <v>628</v>
      </c>
      <c r="B10" s="997"/>
      <c r="C10" s="997"/>
      <c r="D10" s="997"/>
      <c r="E10" s="997"/>
      <c r="F10" s="1022"/>
      <c r="G10" s="699">
        <f>G9</f>
        <v>10000</v>
      </c>
      <c r="H10" s="258">
        <f>SUM(H9:H9)</f>
        <v>10</v>
      </c>
      <c r="L10" s="172"/>
    </row>
    <row r="11" spans="1:15">
      <c r="L11" s="172"/>
    </row>
    <row r="12" spans="1:15">
      <c r="L12" s="140"/>
      <c r="M12" s="140"/>
      <c r="N12" s="140"/>
      <c r="O12" s="140"/>
    </row>
    <row r="13" spans="1:15">
      <c r="A13" s="992" t="s">
        <v>621</v>
      </c>
      <c r="B13" s="992"/>
      <c r="C13" s="162"/>
      <c r="D13" s="993"/>
      <c r="E13" s="993"/>
      <c r="F13" s="162"/>
      <c r="G13" s="993" t="str">
        <f ca="1">рВДЛ!G29</f>
        <v>М.В. Златова</v>
      </c>
      <c r="H13" s="993"/>
      <c r="L13" s="140"/>
      <c r="M13" s="140"/>
      <c r="N13" s="176"/>
      <c r="O13" s="174"/>
    </row>
    <row r="14" spans="1:15">
      <c r="A14" s="1001" t="s">
        <v>554</v>
      </c>
      <c r="B14" s="1001"/>
      <c r="C14" s="163"/>
      <c r="D14" s="1001" t="s">
        <v>555</v>
      </c>
      <c r="E14" s="1001"/>
      <c r="F14" s="163"/>
      <c r="G14" s="1002" t="s">
        <v>556</v>
      </c>
      <c r="H14" s="1002"/>
      <c r="L14" s="140"/>
      <c r="M14" s="140"/>
      <c r="N14" s="140"/>
      <c r="O14" s="140"/>
    </row>
    <row r="15" spans="1:15">
      <c r="A15" s="992" t="str">
        <f ca="1">рВДЛ!A31</f>
        <v>Исполнитель: финансист</v>
      </c>
      <c r="B15" s="992"/>
      <c r="C15" s="162"/>
      <c r="D15" s="993"/>
      <c r="E15" s="993"/>
      <c r="F15" s="162"/>
      <c r="G15" s="993" t="str">
        <f ca="1">рВДЛ!G31</f>
        <v>Е.Н. Рыбалка</v>
      </c>
      <c r="H15" s="993"/>
    </row>
    <row r="16" spans="1:15">
      <c r="A16" s="1001" t="s">
        <v>554</v>
      </c>
      <c r="B16" s="1001"/>
      <c r="C16" s="163"/>
      <c r="D16" s="1001" t="s">
        <v>555</v>
      </c>
      <c r="E16" s="1001"/>
      <c r="F16" s="163"/>
      <c r="G16" s="1002" t="s">
        <v>556</v>
      </c>
      <c r="H16" s="1002"/>
    </row>
  </sheetData>
  <mergeCells count="19">
    <mergeCell ref="G13:H13"/>
    <mergeCell ref="B9:D9"/>
    <mergeCell ref="A1:I1"/>
    <mergeCell ref="A3:I3"/>
    <mergeCell ref="A4:I4"/>
    <mergeCell ref="B7:D7"/>
    <mergeCell ref="B8:D8"/>
    <mergeCell ref="A10:F10"/>
    <mergeCell ref="A13:B13"/>
    <mergeCell ref="D13:E13"/>
    <mergeCell ref="G16:H16"/>
    <mergeCell ref="A14:B14"/>
    <mergeCell ref="D14:E14"/>
    <mergeCell ref="G14:H14"/>
    <mergeCell ref="A15:B15"/>
    <mergeCell ref="D15:E15"/>
    <mergeCell ref="G15:H15"/>
    <mergeCell ref="A16:B16"/>
    <mergeCell ref="D16:E1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72"/>
  <sheetViews>
    <sheetView showZeros="0" topLeftCell="A4" workbookViewId="0">
      <selection activeCell="H38" sqref="H38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17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7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7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7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7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4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6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</row>
    <row r="12" spans="1:9" s="170" customFormat="1">
      <c r="A12" s="1041" t="s">
        <v>400</v>
      </c>
      <c r="B12" s="1041"/>
      <c r="C12" s="1041"/>
      <c r="D12" s="1041"/>
      <c r="E12" s="1041"/>
      <c r="F12" s="1041"/>
      <c r="G12" s="1041"/>
      <c r="H12" s="1041"/>
      <c r="I12" s="574"/>
    </row>
    <row r="13" spans="1:9" s="170" customFormat="1" ht="6" customHeight="1">
      <c r="E13" s="722"/>
      <c r="F13" s="722"/>
      <c r="G13" s="722"/>
      <c r="H13" s="722"/>
      <c r="I13" s="574"/>
    </row>
    <row r="14" spans="1:9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574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47"/>
    </row>
    <row r="16" spans="1:9">
      <c r="A16" s="512" t="s">
        <v>852</v>
      </c>
      <c r="B16" s="529" t="s">
        <v>358</v>
      </c>
      <c r="C16" s="529" t="s">
        <v>401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1175.7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733"/>
      <c r="F23" s="508">
        <v>214</v>
      </c>
      <c r="G23" s="508">
        <v>831</v>
      </c>
      <c r="H23" s="264"/>
    </row>
    <row r="24" spans="1:8">
      <c r="A24" s="513" t="s">
        <v>857</v>
      </c>
      <c r="B24" s="726"/>
      <c r="C24" s="726"/>
      <c r="D24" s="726"/>
      <c r="E24" s="726" t="s">
        <v>375</v>
      </c>
      <c r="F24" s="506">
        <v>220</v>
      </c>
      <c r="G24" s="506"/>
      <c r="H24" s="727">
        <f>H25+H26+H28+H32+H36</f>
        <v>855.7</v>
      </c>
    </row>
    <row r="25" spans="1:8">
      <c r="A25" s="514" t="s">
        <v>576</v>
      </c>
      <c r="B25" s="728" t="s">
        <v>358</v>
      </c>
      <c r="C25" s="728" t="s">
        <v>401</v>
      </c>
      <c r="D25" s="728" t="s">
        <v>405</v>
      </c>
      <c r="E25" s="728" t="s">
        <v>640</v>
      </c>
      <c r="F25" s="507">
        <v>221</v>
      </c>
      <c r="G25" s="507"/>
      <c r="H25" s="730">
        <f ca="1">рДругие!I50</f>
        <v>34</v>
      </c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 t="s">
        <v>358</v>
      </c>
      <c r="C28" s="728" t="s">
        <v>401</v>
      </c>
      <c r="D28" s="728" t="s">
        <v>197</v>
      </c>
      <c r="E28" s="728" t="s">
        <v>640</v>
      </c>
      <c r="F28" s="507">
        <v>223</v>
      </c>
      <c r="G28" s="507"/>
      <c r="H28" s="730">
        <f>SUM(H29:H31)</f>
        <v>460.1</v>
      </c>
    </row>
    <row r="29" spans="1:8">
      <c r="A29" s="515" t="s">
        <v>579</v>
      </c>
      <c r="B29" s="732" t="s">
        <v>358</v>
      </c>
      <c r="C29" s="732" t="s">
        <v>401</v>
      </c>
      <c r="D29" s="732" t="s">
        <v>197</v>
      </c>
      <c r="E29" s="732" t="s">
        <v>640</v>
      </c>
      <c r="F29" s="508">
        <v>223</v>
      </c>
      <c r="G29" s="508">
        <v>721</v>
      </c>
      <c r="H29" s="264">
        <f ca="1">рДругие!F34</f>
        <v>460.1</v>
      </c>
    </row>
    <row r="30" spans="1:8">
      <c r="A30" s="515" t="s">
        <v>580</v>
      </c>
      <c r="B30" s="732" t="s">
        <v>358</v>
      </c>
      <c r="C30" s="732" t="s">
        <v>401</v>
      </c>
      <c r="D30" s="732" t="s">
        <v>197</v>
      </c>
      <c r="E30" s="732" t="s">
        <v>640</v>
      </c>
      <c r="F30" s="508">
        <v>223</v>
      </c>
      <c r="G30" s="508">
        <v>730</v>
      </c>
      <c r="H30" s="264">
        <f ca="1">рДругие!F35</f>
        <v>0</v>
      </c>
    </row>
    <row r="31" spans="1:8">
      <c r="A31" s="515" t="s">
        <v>581</v>
      </c>
      <c r="B31" s="732" t="s">
        <v>358</v>
      </c>
      <c r="C31" s="732" t="s">
        <v>401</v>
      </c>
      <c r="D31" s="732" t="s">
        <v>197</v>
      </c>
      <c r="E31" s="732" t="s">
        <v>640</v>
      </c>
      <c r="F31" s="508">
        <v>223</v>
      </c>
      <c r="G31" s="508">
        <v>740</v>
      </c>
      <c r="H31" s="264">
        <f ca="1">рДругие!F36</f>
        <v>0</v>
      </c>
    </row>
    <row r="32" spans="1:8">
      <c r="A32" s="514" t="s">
        <v>859</v>
      </c>
      <c r="B32" s="728" t="s">
        <v>358</v>
      </c>
      <c r="C32" s="728" t="s">
        <v>401</v>
      </c>
      <c r="D32" s="728" t="s">
        <v>45</v>
      </c>
      <c r="E32" s="728" t="s">
        <v>640</v>
      </c>
      <c r="F32" s="507">
        <v>225</v>
      </c>
      <c r="G32" s="507"/>
      <c r="H32" s="730">
        <f ca="1">SUM(H33:H35)</f>
        <v>299.60000000000002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 t="s">
        <v>358</v>
      </c>
      <c r="C34" s="732" t="s">
        <v>401</v>
      </c>
      <c r="D34" s="732" t="s">
        <v>45</v>
      </c>
      <c r="E34" s="732" t="s">
        <v>640</v>
      </c>
      <c r="F34" s="508">
        <v>225</v>
      </c>
      <c r="G34" s="508" t="s">
        <v>583</v>
      </c>
      <c r="H34" s="264">
        <f ca="1">рДругие!I72</f>
        <v>299.60000000000002</v>
      </c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 t="s">
        <v>358</v>
      </c>
      <c r="C36" s="728" t="s">
        <v>401</v>
      </c>
      <c r="D36" s="728" t="s">
        <v>708</v>
      </c>
      <c r="E36" s="728" t="s">
        <v>640</v>
      </c>
      <c r="F36" s="507" t="s">
        <v>575</v>
      </c>
      <c r="G36" s="507"/>
      <c r="H36" s="730">
        <f>SUM(H37:H43)</f>
        <v>62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48"/>
    </row>
    <row r="38" spans="1:9">
      <c r="A38" s="515" t="s">
        <v>586</v>
      </c>
      <c r="B38" s="732" t="s">
        <v>358</v>
      </c>
      <c r="C38" s="732" t="s">
        <v>401</v>
      </c>
      <c r="D38" s="732" t="s">
        <v>708</v>
      </c>
      <c r="E38" s="732" t="s">
        <v>640</v>
      </c>
      <c r="F38" s="508">
        <v>226</v>
      </c>
      <c r="G38" s="508" t="s">
        <v>587</v>
      </c>
      <c r="H38" s="264">
        <f ca="1">рДругие!H11+рДругие!H82</f>
        <v>62</v>
      </c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733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737"/>
      <c r="C48" s="737"/>
      <c r="D48" s="737"/>
      <c r="E48" s="731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/>
      <c r="C52" s="737"/>
      <c r="D52" s="737"/>
      <c r="E52" s="737" t="s">
        <v>386</v>
      </c>
      <c r="F52" s="506" t="s">
        <v>595</v>
      </c>
      <c r="G52" s="506"/>
      <c r="H52" s="738">
        <f>SUM(H53:H58)</f>
        <v>320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 t="s">
        <v>727</v>
      </c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</row>
    <row r="58" spans="1:8">
      <c r="A58" s="516" t="s">
        <v>877</v>
      </c>
      <c r="B58" s="728" t="s">
        <v>358</v>
      </c>
      <c r="C58" s="728" t="s">
        <v>401</v>
      </c>
      <c r="D58" s="728" t="s">
        <v>407</v>
      </c>
      <c r="E58" s="728" t="s">
        <v>727</v>
      </c>
      <c r="F58" s="510">
        <v>297</v>
      </c>
      <c r="G58" s="510"/>
      <c r="H58" s="730">
        <f ca="1">рДругие!I64</f>
        <v>320</v>
      </c>
    </row>
    <row r="59" spans="1:8">
      <c r="A59" s="513" t="s">
        <v>868</v>
      </c>
      <c r="B59" s="737"/>
      <c r="C59" s="737"/>
      <c r="D59" s="737"/>
      <c r="E59" s="737" t="s">
        <v>375</v>
      </c>
      <c r="F59" s="506" t="s">
        <v>436</v>
      </c>
      <c r="G59" s="506"/>
      <c r="H59" s="738">
        <f>H60+H62+H63+H64</f>
        <v>10.6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 t="s">
        <v>358</v>
      </c>
      <c r="C63" s="728" t="s">
        <v>401</v>
      </c>
      <c r="D63" s="728" t="s">
        <v>405</v>
      </c>
      <c r="E63" s="728" t="s">
        <v>640</v>
      </c>
      <c r="F63" s="511">
        <v>346</v>
      </c>
      <c r="G63" s="511"/>
      <c r="H63" s="730">
        <f ca="1">рДругие!I56</f>
        <v>10.6</v>
      </c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8">
      <c r="A65" s="517" t="s">
        <v>710</v>
      </c>
      <c r="B65" s="728" t="s">
        <v>358</v>
      </c>
      <c r="C65" s="728" t="s">
        <v>401</v>
      </c>
      <c r="D65" s="728" t="s">
        <v>199</v>
      </c>
      <c r="E65" s="728" t="s">
        <v>375</v>
      </c>
      <c r="F65" s="511"/>
      <c r="G65" s="511"/>
      <c r="H65" s="730">
        <f ca="1">рДругие!H11</f>
        <v>22</v>
      </c>
    </row>
    <row r="66" spans="1:8">
      <c r="A66" s="517" t="s">
        <v>710</v>
      </c>
      <c r="B66" s="728" t="s">
        <v>358</v>
      </c>
      <c r="C66" s="728" t="s">
        <v>401</v>
      </c>
      <c r="D66" s="728" t="s">
        <v>197</v>
      </c>
      <c r="E66" s="728" t="s">
        <v>375</v>
      </c>
      <c r="F66" s="511"/>
      <c r="G66" s="511"/>
      <c r="H66" s="730">
        <f>H28</f>
        <v>460.1</v>
      </c>
    </row>
    <row r="67" spans="1:8">
      <c r="A67" s="517" t="s">
        <v>710</v>
      </c>
      <c r="B67" s="728" t="s">
        <v>358</v>
      </c>
      <c r="C67" s="728" t="s">
        <v>401</v>
      </c>
      <c r="D67" s="728" t="s">
        <v>405</v>
      </c>
      <c r="E67" s="728" t="s">
        <v>375</v>
      </c>
      <c r="F67" s="511"/>
      <c r="G67" s="511"/>
      <c r="H67" s="730">
        <f>H25+H63</f>
        <v>44.6</v>
      </c>
    </row>
    <row r="68" spans="1:8">
      <c r="A68" s="517" t="s">
        <v>710</v>
      </c>
      <c r="B68" s="728" t="s">
        <v>358</v>
      </c>
      <c r="C68" s="728" t="s">
        <v>401</v>
      </c>
      <c r="D68" s="728" t="s">
        <v>407</v>
      </c>
      <c r="E68" s="728" t="s">
        <v>386</v>
      </c>
      <c r="F68" s="511"/>
      <c r="G68" s="511"/>
      <c r="H68" s="730">
        <f>H58</f>
        <v>320</v>
      </c>
    </row>
    <row r="69" spans="1:8">
      <c r="A69" s="517" t="s">
        <v>710</v>
      </c>
      <c r="B69" s="728" t="s">
        <v>358</v>
      </c>
      <c r="C69" s="728" t="s">
        <v>401</v>
      </c>
      <c r="D69" s="728" t="s">
        <v>45</v>
      </c>
      <c r="E69" s="728" t="s">
        <v>375</v>
      </c>
      <c r="F69" s="511"/>
      <c r="G69" s="511"/>
      <c r="H69" s="730">
        <f>H32</f>
        <v>299.60000000000002</v>
      </c>
    </row>
    <row r="70" spans="1:8">
      <c r="A70" s="517" t="s">
        <v>710</v>
      </c>
      <c r="B70" s="728" t="s">
        <v>358</v>
      </c>
      <c r="C70" s="728" t="s">
        <v>401</v>
      </c>
      <c r="D70" s="728" t="s">
        <v>47</v>
      </c>
      <c r="E70" s="728" t="s">
        <v>375</v>
      </c>
      <c r="F70" s="511"/>
      <c r="G70" s="511"/>
      <c r="H70" s="730">
        <f ca="1">рДругие!H82</f>
        <v>40</v>
      </c>
    </row>
    <row r="71" spans="1:8">
      <c r="A71" s="519" t="s">
        <v>602</v>
      </c>
      <c r="B71" s="728" t="s">
        <v>358</v>
      </c>
      <c r="C71" s="728" t="s">
        <v>401</v>
      </c>
      <c r="D71" s="728" t="s">
        <v>708</v>
      </c>
      <c r="E71" s="728" t="s">
        <v>570</v>
      </c>
      <c r="F71" s="518"/>
      <c r="G71" s="518"/>
      <c r="H71" s="730">
        <f>H59+H16</f>
        <v>1186.3</v>
      </c>
    </row>
    <row r="72" spans="1:8">
      <c r="A72" s="742"/>
      <c r="B72" s="743"/>
      <c r="C72" s="743"/>
      <c r="D72" s="743"/>
      <c r="E72" s="743"/>
      <c r="F72" s="743"/>
      <c r="G72" s="743"/>
      <c r="H72" s="744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92D050"/>
  </sheetPr>
  <dimension ref="A1:Q96"/>
  <sheetViews>
    <sheetView topLeftCell="A28" workbookViewId="0">
      <selection activeCell="I41" sqref="I41"/>
    </sheetView>
  </sheetViews>
  <sheetFormatPr defaultRowHeight="15"/>
  <cols>
    <col min="1" max="1" width="4" style="669" customWidth="1"/>
    <col min="2" max="2" width="25.140625" style="669" customWidth="1"/>
    <col min="3" max="4" width="6.5703125" style="669" customWidth="1"/>
    <col min="5" max="5" width="11.28515625" style="669" customWidth="1"/>
    <col min="6" max="7" width="11.42578125" style="669" customWidth="1"/>
    <col min="8" max="8" width="11.7109375" style="669" customWidth="1"/>
    <col min="9" max="9" width="11.5703125" style="669" customWidth="1"/>
    <col min="10" max="10" width="12.5703125" style="669" customWidth="1"/>
    <col min="11" max="11" width="7.5703125" style="669" customWidth="1"/>
    <col min="12" max="12" width="12.5703125" style="669" customWidth="1"/>
    <col min="13" max="17" width="12.140625" style="669" customWidth="1"/>
    <col min="18" max="229" width="9.140625" style="669"/>
    <col min="230" max="230" width="4" style="669" customWidth="1"/>
    <col min="231" max="231" width="10.5703125" style="669" customWidth="1"/>
    <col min="232" max="232" width="11.140625" style="669" customWidth="1"/>
    <col min="233" max="233" width="8.7109375" style="669" customWidth="1"/>
    <col min="234" max="234" width="8" style="669" customWidth="1"/>
    <col min="235" max="235" width="10.28515625" style="669" customWidth="1"/>
    <col min="236" max="236" width="7.140625" style="669" customWidth="1"/>
    <col min="237" max="237" width="6.85546875" style="669" customWidth="1"/>
    <col min="238" max="238" width="11.7109375" style="669" customWidth="1"/>
    <col min="239" max="239" width="11.5703125" style="669" customWidth="1"/>
    <col min="240" max="240" width="9.140625" style="669"/>
    <col min="241" max="241" width="10.5703125" style="669" bestFit="1" customWidth="1"/>
    <col min="242" max="242" width="9.140625" style="669"/>
    <col min="243" max="243" width="12.140625" style="669" customWidth="1"/>
    <col min="244" max="16384" width="9.140625" style="669"/>
  </cols>
  <sheetData>
    <row r="1" spans="1:11">
      <c r="A1" s="1041" t="s">
        <v>400</v>
      </c>
      <c r="B1" s="1041"/>
      <c r="C1" s="1041"/>
      <c r="D1" s="1041"/>
      <c r="E1" s="1041"/>
      <c r="F1" s="1041"/>
      <c r="G1" s="1041"/>
      <c r="H1" s="1041"/>
      <c r="I1" s="1041"/>
    </row>
    <row r="3" spans="1:11" ht="15.75">
      <c r="A3" s="1003" t="s">
        <v>609</v>
      </c>
      <c r="B3" s="1003"/>
      <c r="C3" s="1003"/>
      <c r="D3" s="1003"/>
      <c r="E3" s="1003"/>
      <c r="F3" s="1003"/>
      <c r="G3" s="1003"/>
      <c r="H3" s="1003"/>
      <c r="I3" s="187"/>
    </row>
    <row r="4" spans="1:11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  <c r="I4" s="188"/>
    </row>
    <row r="5" spans="1:11" ht="15" customHeight="1">
      <c r="A5" s="186"/>
      <c r="B5" s="186"/>
      <c r="C5" s="186"/>
      <c r="D5" s="186"/>
      <c r="E5" s="186"/>
      <c r="F5" s="186"/>
      <c r="G5" s="186"/>
      <c r="H5" s="186"/>
      <c r="I5" s="188"/>
    </row>
    <row r="6" spans="1:11" ht="32.25" customHeight="1">
      <c r="A6" s="988" t="s">
        <v>173</v>
      </c>
      <c r="B6" s="988"/>
      <c r="C6" s="988"/>
      <c r="D6" s="988"/>
      <c r="E6" s="988"/>
      <c r="F6" s="988"/>
      <c r="G6" s="988"/>
      <c r="H6" s="988"/>
      <c r="I6" s="188"/>
    </row>
    <row r="7" spans="1:11" ht="15" customHeight="1">
      <c r="A7" s="998" t="s">
        <v>629</v>
      </c>
      <c r="B7" s="998"/>
      <c r="C7" s="998"/>
      <c r="D7" s="998"/>
      <c r="E7" s="998"/>
      <c r="F7" s="998"/>
      <c r="G7" s="998"/>
      <c r="H7" s="998"/>
      <c r="I7" s="188"/>
    </row>
    <row r="8" spans="1:11" ht="24">
      <c r="A8" s="157" t="s">
        <v>483</v>
      </c>
      <c r="B8" s="157" t="s">
        <v>726</v>
      </c>
      <c r="C8" s="154" t="s">
        <v>568</v>
      </c>
      <c r="D8" s="157" t="s">
        <v>614</v>
      </c>
      <c r="E8" s="157" t="s">
        <v>635</v>
      </c>
      <c r="F8" s="157" t="s">
        <v>800</v>
      </c>
      <c r="G8" s="268" t="s">
        <v>690</v>
      </c>
      <c r="H8" s="157" t="s">
        <v>626</v>
      </c>
      <c r="I8" s="188"/>
    </row>
    <row r="9" spans="1:11" ht="15" customHeight="1">
      <c r="A9" s="160">
        <v>1</v>
      </c>
      <c r="B9" s="160">
        <v>2</v>
      </c>
      <c r="C9" s="160">
        <v>3</v>
      </c>
      <c r="D9" s="160">
        <v>4</v>
      </c>
      <c r="E9" s="160">
        <v>5</v>
      </c>
      <c r="F9" s="160">
        <v>6</v>
      </c>
      <c r="G9" s="269">
        <v>7</v>
      </c>
      <c r="H9" s="160">
        <v>8</v>
      </c>
      <c r="I9" s="188"/>
    </row>
    <row r="10" spans="1:11" ht="60">
      <c r="A10" s="160">
        <v>1</v>
      </c>
      <c r="B10" s="437" t="s">
        <v>172</v>
      </c>
      <c r="C10" s="157">
        <v>226</v>
      </c>
      <c r="D10" s="218" t="s">
        <v>587</v>
      </c>
      <c r="E10" s="243">
        <v>1</v>
      </c>
      <c r="F10" s="249">
        <v>22000</v>
      </c>
      <c r="G10" s="274">
        <f>F10*E10</f>
        <v>22000</v>
      </c>
      <c r="H10" s="265">
        <f>ROUND((F10*E10)/1000,1)</f>
        <v>22</v>
      </c>
      <c r="I10" s="188"/>
    </row>
    <row r="11" spans="1:11" ht="15" customHeight="1">
      <c r="A11" s="1059" t="s">
        <v>633</v>
      </c>
      <c r="B11" s="1059"/>
      <c r="C11" s="1059"/>
      <c r="D11" s="1059"/>
      <c r="E11" s="1059"/>
      <c r="F11" s="1059"/>
      <c r="G11" s="706">
        <f>SUM(G10:G10)</f>
        <v>22000</v>
      </c>
      <c r="H11" s="275">
        <f>SUM(H10:H10)</f>
        <v>22</v>
      </c>
      <c r="I11" s="188"/>
    </row>
    <row r="12" spans="1:11" ht="15" customHeight="1">
      <c r="A12" s="186"/>
      <c r="B12" s="186"/>
      <c r="C12" s="186"/>
      <c r="D12" s="186"/>
      <c r="E12" s="186"/>
      <c r="F12" s="186"/>
      <c r="G12" s="186"/>
      <c r="H12" s="186"/>
      <c r="I12" s="188"/>
    </row>
    <row r="13" spans="1:11" ht="15" customHeight="1">
      <c r="A13" s="186"/>
      <c r="B13" s="186"/>
      <c r="C13" s="186"/>
      <c r="D13" s="186"/>
      <c r="E13" s="186"/>
      <c r="F13" s="186"/>
      <c r="G13" s="186"/>
      <c r="H13" s="186"/>
      <c r="I13" s="188"/>
    </row>
    <row r="14" spans="1:11">
      <c r="A14" s="1041" t="s">
        <v>166</v>
      </c>
      <c r="B14" s="1041"/>
      <c r="C14" s="1041"/>
      <c r="D14" s="1041"/>
      <c r="E14" s="1041"/>
      <c r="F14" s="1041"/>
      <c r="G14" s="1041"/>
      <c r="H14" s="1041"/>
      <c r="I14" s="1041"/>
      <c r="J14" s="700"/>
      <c r="K14" s="700"/>
    </row>
    <row r="15" spans="1:11">
      <c r="A15" s="994" t="s">
        <v>660</v>
      </c>
      <c r="B15" s="994"/>
      <c r="C15" s="994"/>
      <c r="D15" s="994"/>
      <c r="E15" s="994"/>
      <c r="F15" s="994"/>
      <c r="G15" s="994"/>
      <c r="H15" s="994"/>
      <c r="I15" s="994"/>
    </row>
    <row r="16" spans="1:11" ht="30" customHeight="1">
      <c r="A16" s="198" t="s">
        <v>483</v>
      </c>
      <c r="B16" s="157" t="s">
        <v>715</v>
      </c>
      <c r="C16" s="199" t="s">
        <v>568</v>
      </c>
      <c r="D16" s="198" t="s">
        <v>614</v>
      </c>
      <c r="E16" s="198" t="s">
        <v>634</v>
      </c>
      <c r="F16" s="631" t="s">
        <v>719</v>
      </c>
      <c r="G16" s="198" t="s">
        <v>661</v>
      </c>
      <c r="H16" s="238" t="s">
        <v>690</v>
      </c>
      <c r="I16" s="198" t="s">
        <v>626</v>
      </c>
    </row>
    <row r="17" spans="1:17">
      <c r="A17" s="160">
        <v>1</v>
      </c>
      <c r="B17" s="242">
        <v>2</v>
      </c>
      <c r="C17" s="160">
        <v>3</v>
      </c>
      <c r="D17" s="160">
        <v>4</v>
      </c>
      <c r="E17" s="160">
        <v>5</v>
      </c>
      <c r="F17" s="242">
        <v>6</v>
      </c>
      <c r="G17" s="160">
        <v>7</v>
      </c>
      <c r="H17" s="243">
        <v>8</v>
      </c>
      <c r="I17" s="160">
        <v>9</v>
      </c>
    </row>
    <row r="18" spans="1:17" ht="15" customHeight="1">
      <c r="A18" s="1032">
        <v>2</v>
      </c>
      <c r="B18" s="1034" t="s">
        <v>691</v>
      </c>
      <c r="C18" s="1036">
        <v>223</v>
      </c>
      <c r="D18" s="1036">
        <v>721</v>
      </c>
      <c r="E18" s="1036" t="s">
        <v>662</v>
      </c>
      <c r="F18" s="628">
        <v>173.6</v>
      </c>
      <c r="G18" s="628">
        <v>1422.77</v>
      </c>
      <c r="H18" s="247">
        <f t="shared" ref="H18:H27" si="0">F18*G18</f>
        <v>246992.872</v>
      </c>
      <c r="I18" s="1039">
        <f>ROUND((H18+H19)/1000,1)</f>
        <v>445.7</v>
      </c>
      <c r="J18" s="467"/>
    </row>
    <row r="19" spans="1:17">
      <c r="A19" s="1033"/>
      <c r="B19" s="1035"/>
      <c r="C19" s="1037"/>
      <c r="D19" s="1037"/>
      <c r="E19" s="1037"/>
      <c r="F19" s="628">
        <v>136.4</v>
      </c>
      <c r="G19" s="628">
        <v>1456.91</v>
      </c>
      <c r="H19" s="247">
        <f t="shared" si="0"/>
        <v>198722.52400000003</v>
      </c>
      <c r="I19" s="1040"/>
      <c r="J19" s="467"/>
    </row>
    <row r="20" spans="1:17" ht="15" customHeight="1">
      <c r="A20" s="1023">
        <v>3</v>
      </c>
      <c r="B20" s="1010" t="s">
        <v>951</v>
      </c>
      <c r="C20" s="1007">
        <v>223</v>
      </c>
      <c r="D20" s="1031">
        <v>721</v>
      </c>
      <c r="E20" s="1031" t="s">
        <v>662</v>
      </c>
      <c r="F20" s="632">
        <v>67.2</v>
      </c>
      <c r="G20" s="607">
        <v>22020</v>
      </c>
      <c r="H20" s="244">
        <f t="shared" si="0"/>
        <v>1479744</v>
      </c>
      <c r="I20" s="1028">
        <f>ROUND((H20+H21)/1000,1)</f>
        <v>2670.7</v>
      </c>
      <c r="J20" s="467"/>
    </row>
    <row r="21" spans="1:17" s="745" customFormat="1">
      <c r="A21" s="1023"/>
      <c r="B21" s="1010"/>
      <c r="C21" s="1007"/>
      <c r="D21" s="1031"/>
      <c r="E21" s="1031"/>
      <c r="F21" s="632">
        <v>52.8</v>
      </c>
      <c r="G21" s="607">
        <v>22556.18</v>
      </c>
      <c r="H21" s="244">
        <f t="shared" si="0"/>
        <v>1190966.304</v>
      </c>
      <c r="I21" s="1029"/>
      <c r="J21" s="467"/>
    </row>
    <row r="22" spans="1:17" ht="15" customHeight="1">
      <c r="A22" s="1023">
        <v>4</v>
      </c>
      <c r="B22" s="1010" t="s">
        <v>6</v>
      </c>
      <c r="C22" s="1007">
        <v>223</v>
      </c>
      <c r="D22" s="1031">
        <v>730</v>
      </c>
      <c r="E22" s="1031" t="s">
        <v>692</v>
      </c>
      <c r="F22" s="632">
        <v>4050</v>
      </c>
      <c r="G22" s="607">
        <v>55.87</v>
      </c>
      <c r="H22" s="244">
        <f t="shared" si="0"/>
        <v>226273.5</v>
      </c>
      <c r="I22" s="1028">
        <f>ROUND((H22+H23)/1000,1)</f>
        <v>454.3</v>
      </c>
      <c r="J22" s="467"/>
    </row>
    <row r="23" spans="1:17">
      <c r="A23" s="1023"/>
      <c r="B23" s="1010"/>
      <c r="C23" s="1007"/>
      <c r="D23" s="1031"/>
      <c r="E23" s="1031"/>
      <c r="F23" s="632">
        <v>3450</v>
      </c>
      <c r="G23" s="607">
        <v>66.099999999999994</v>
      </c>
      <c r="H23" s="244">
        <f t="shared" si="0"/>
        <v>228044.99999999997</v>
      </c>
      <c r="I23" s="1029"/>
      <c r="J23" s="467"/>
    </row>
    <row r="24" spans="1:17" ht="15" customHeight="1">
      <c r="A24" s="1023">
        <v>5</v>
      </c>
      <c r="B24" s="1010" t="s">
        <v>952</v>
      </c>
      <c r="C24" s="1007">
        <v>223</v>
      </c>
      <c r="D24" s="1031">
        <v>740</v>
      </c>
      <c r="E24" s="1031" t="s">
        <v>663</v>
      </c>
      <c r="F24" s="632">
        <v>6.63</v>
      </c>
      <c r="G24" s="607">
        <v>3224.47</v>
      </c>
      <c r="H24" s="244">
        <f t="shared" si="0"/>
        <v>21378.236099999998</v>
      </c>
      <c r="I24" s="1028">
        <f>ROUND((H24+H25)/1000,1)</f>
        <v>42.6</v>
      </c>
      <c r="J24" s="467"/>
    </row>
    <row r="25" spans="1:17">
      <c r="A25" s="1023"/>
      <c r="B25" s="1010"/>
      <c r="C25" s="1007"/>
      <c r="D25" s="1031"/>
      <c r="E25" s="1031"/>
      <c r="F25" s="632">
        <v>5.21</v>
      </c>
      <c r="G25" s="607">
        <v>4070.26</v>
      </c>
      <c r="H25" s="244">
        <f t="shared" si="0"/>
        <v>21206.054599999999</v>
      </c>
      <c r="I25" s="1029"/>
      <c r="J25" s="467"/>
    </row>
    <row r="26" spans="1:17" ht="15" customHeight="1">
      <c r="A26" s="1023">
        <v>6</v>
      </c>
      <c r="B26" s="1010" t="s">
        <v>953</v>
      </c>
      <c r="C26" s="1007">
        <v>223</v>
      </c>
      <c r="D26" s="1031">
        <v>740</v>
      </c>
      <c r="E26" s="1031" t="s">
        <v>663</v>
      </c>
      <c r="F26" s="632">
        <v>6.63</v>
      </c>
      <c r="G26" s="607">
        <v>46.67</v>
      </c>
      <c r="H26" s="244">
        <f t="shared" si="0"/>
        <v>309.4221</v>
      </c>
      <c r="I26" s="1028">
        <f>ROUND((H26+H27)/1000,1)</f>
        <v>0.6</v>
      </c>
      <c r="J26" s="467"/>
    </row>
    <row r="27" spans="1:17">
      <c r="A27" s="1023"/>
      <c r="B27" s="1010"/>
      <c r="C27" s="1007"/>
      <c r="D27" s="1031"/>
      <c r="E27" s="1031"/>
      <c r="F27" s="632">
        <v>5.21</v>
      </c>
      <c r="G27" s="607">
        <v>52.03</v>
      </c>
      <c r="H27" s="244">
        <f t="shared" si="0"/>
        <v>271.0763</v>
      </c>
      <c r="I27" s="1029"/>
      <c r="J27" s="467"/>
    </row>
    <row r="28" spans="1:17">
      <c r="A28" s="1030" t="s">
        <v>718</v>
      </c>
      <c r="B28" s="1030"/>
      <c r="C28" s="1030"/>
      <c r="D28" s="1030"/>
      <c r="E28" s="1030"/>
      <c r="F28" s="1030"/>
      <c r="G28" s="1030"/>
      <c r="H28" s="248">
        <f>SUM(H20:H27)</f>
        <v>3168193.5930999997</v>
      </c>
      <c r="I28" s="277">
        <f>SUM(I20:I27)</f>
        <v>3168.2</v>
      </c>
      <c r="J28" s="246"/>
    </row>
    <row r="29" spans="1:17">
      <c r="A29" s="1030" t="s">
        <v>664</v>
      </c>
      <c r="B29" s="1030"/>
      <c r="C29" s="1030"/>
      <c r="D29" s="1030"/>
      <c r="E29" s="1030"/>
      <c r="F29" s="1030"/>
      <c r="G29" s="1030"/>
      <c r="H29" s="245"/>
      <c r="I29" s="277">
        <f>SUM(I18:I27)</f>
        <v>3613.8999999999996</v>
      </c>
    </row>
    <row r="30" spans="1:17" ht="15.75" customHeight="1"/>
    <row r="31" spans="1:17">
      <c r="A31" s="1045" t="s">
        <v>158</v>
      </c>
      <c r="B31" s="1046"/>
      <c r="C31" s="1046"/>
      <c r="D31" s="1046"/>
      <c r="E31" s="1046"/>
      <c r="F31" s="1046"/>
      <c r="G31" s="189"/>
      <c r="H31" s="189"/>
      <c r="I31" s="189"/>
      <c r="J31" s="189"/>
      <c r="K31" s="189"/>
      <c r="L31" s="1042" t="s">
        <v>80</v>
      </c>
      <c r="M31" s="1042"/>
      <c r="N31" s="1042"/>
      <c r="O31" s="1042"/>
      <c r="P31" s="1042"/>
      <c r="Q31" s="1042"/>
    </row>
    <row r="32" spans="1:17" ht="24">
      <c r="A32" s="238" t="s">
        <v>483</v>
      </c>
      <c r="B32" s="238" t="s">
        <v>714</v>
      </c>
      <c r="C32" s="238" t="s">
        <v>568</v>
      </c>
      <c r="D32" s="238" t="s">
        <v>7</v>
      </c>
      <c r="E32" s="238" t="s">
        <v>8</v>
      </c>
      <c r="F32" s="238" t="s">
        <v>9</v>
      </c>
      <c r="G32" s="189"/>
      <c r="H32" s="189"/>
      <c r="I32" s="189"/>
      <c r="J32" s="189"/>
      <c r="K32" s="189"/>
      <c r="L32" s="1043"/>
      <c r="M32" s="702" t="s">
        <v>782</v>
      </c>
      <c r="N32" s="702" t="s">
        <v>843</v>
      </c>
      <c r="O32" s="702" t="s">
        <v>844</v>
      </c>
      <c r="P32" s="702" t="s">
        <v>845</v>
      </c>
      <c r="Q32" s="702" t="s">
        <v>846</v>
      </c>
    </row>
    <row r="33" spans="1:17">
      <c r="A33" s="243">
        <v>1</v>
      </c>
      <c r="B33" s="243">
        <v>2</v>
      </c>
      <c r="C33" s="243">
        <v>3</v>
      </c>
      <c r="D33" s="243">
        <v>4</v>
      </c>
      <c r="E33" s="243">
        <v>5</v>
      </c>
      <c r="F33" s="243">
        <v>6</v>
      </c>
      <c r="G33" s="189"/>
      <c r="H33" s="189"/>
      <c r="I33" s="189"/>
      <c r="J33" s="189"/>
      <c r="K33" s="189"/>
      <c r="L33" s="1044"/>
      <c r="M33" s="703">
        <f>SUM(N33:Q33)</f>
        <v>0</v>
      </c>
      <c r="N33" s="655">
        <f>SUM(N34:N35)</f>
        <v>0</v>
      </c>
      <c r="O33" s="655">
        <f>SUM(O34:O35)</f>
        <v>0</v>
      </c>
      <c r="P33" s="655">
        <f>SUM(P34:P35)</f>
        <v>0</v>
      </c>
      <c r="Q33" s="655">
        <f>SUM(Q34:Q35)</f>
        <v>0</v>
      </c>
    </row>
    <row r="34" spans="1:17" ht="26.25" customHeight="1">
      <c r="A34" s="653">
        <v>1</v>
      </c>
      <c r="B34" s="657" t="s">
        <v>691</v>
      </c>
      <c r="C34" s="633">
        <v>223</v>
      </c>
      <c r="D34" s="653">
        <v>721</v>
      </c>
      <c r="E34" s="654">
        <v>460120</v>
      </c>
      <c r="F34" s="794">
        <f t="shared" ref="F34:F40" si="1">ROUND(E34/1000,1)</f>
        <v>460.1</v>
      </c>
      <c r="G34" s="189"/>
      <c r="H34" s="189"/>
      <c r="I34" s="189"/>
      <c r="J34" s="189"/>
      <c r="K34" s="189"/>
      <c r="L34" s="704" t="s">
        <v>11</v>
      </c>
      <c r="M34" s="454">
        <v>460130</v>
      </c>
      <c r="N34" s="798"/>
      <c r="O34" s="798"/>
      <c r="P34" s="798"/>
      <c r="Q34" s="798"/>
    </row>
    <row r="35" spans="1:17" ht="26.25" customHeight="1">
      <c r="A35" s="653">
        <v>2</v>
      </c>
      <c r="B35" s="657" t="s">
        <v>81</v>
      </c>
      <c r="C35" s="633">
        <v>223</v>
      </c>
      <c r="D35" s="653">
        <v>730</v>
      </c>
      <c r="E35" s="654">
        <v>0</v>
      </c>
      <c r="F35" s="794">
        <f t="shared" si="1"/>
        <v>0</v>
      </c>
      <c r="G35" s="189"/>
      <c r="H35" s="189"/>
      <c r="I35" s="189"/>
      <c r="J35" s="189"/>
      <c r="K35" s="189"/>
      <c r="L35" s="704" t="s">
        <v>12</v>
      </c>
      <c r="M35" s="454">
        <v>2956434</v>
      </c>
      <c r="N35" s="798"/>
      <c r="O35" s="798"/>
      <c r="P35" s="798"/>
      <c r="Q35" s="798"/>
    </row>
    <row r="36" spans="1:17" ht="26.25" customHeight="1">
      <c r="A36" s="653">
        <v>3</v>
      </c>
      <c r="B36" s="657" t="s">
        <v>109</v>
      </c>
      <c r="C36" s="633">
        <v>223</v>
      </c>
      <c r="D36" s="653">
        <v>740</v>
      </c>
      <c r="E36" s="654">
        <v>0</v>
      </c>
      <c r="F36" s="794">
        <f t="shared" si="1"/>
        <v>0</v>
      </c>
      <c r="G36" s="189"/>
      <c r="H36" s="189"/>
      <c r="I36" s="189"/>
      <c r="J36" s="189"/>
      <c r="K36" s="189"/>
      <c r="L36" s="821"/>
      <c r="M36" s="822"/>
      <c r="N36" s="823"/>
      <c r="O36" s="823"/>
      <c r="P36" s="823"/>
      <c r="Q36" s="823"/>
    </row>
    <row r="37" spans="1:17" ht="26.25" customHeight="1">
      <c r="A37" s="243">
        <v>4</v>
      </c>
      <c r="B37" s="515" t="s">
        <v>951</v>
      </c>
      <c r="C37" s="154">
        <v>223</v>
      </c>
      <c r="D37" s="243">
        <v>721</v>
      </c>
      <c r="E37" s="251">
        <v>2448151</v>
      </c>
      <c r="F37" s="795">
        <f t="shared" si="1"/>
        <v>2448.1999999999998</v>
      </c>
      <c r="G37" s="656"/>
      <c r="H37" s="189"/>
      <c r="I37" s="189"/>
      <c r="J37" s="189"/>
      <c r="K37" s="189"/>
      <c r="L37" s="189"/>
      <c r="M37" s="189"/>
      <c r="N37" s="189"/>
      <c r="O37" s="189"/>
      <c r="P37" s="189"/>
      <c r="Q37" s="189"/>
    </row>
    <row r="38" spans="1:17" ht="26.25" customHeight="1">
      <c r="A38" s="243">
        <v>5</v>
      </c>
      <c r="B38" s="515" t="s">
        <v>6</v>
      </c>
      <c r="C38" s="154">
        <v>223</v>
      </c>
      <c r="D38" s="154">
        <v>730</v>
      </c>
      <c r="E38" s="251">
        <v>454300</v>
      </c>
      <c r="F38" s="795">
        <f t="shared" si="1"/>
        <v>454.3</v>
      </c>
      <c r="G38" s="656"/>
      <c r="H38" s="189"/>
      <c r="I38" s="189"/>
      <c r="J38" s="189"/>
      <c r="K38" s="189"/>
      <c r="L38" s="189"/>
      <c r="M38" s="189"/>
      <c r="N38" s="196"/>
      <c r="O38" s="196"/>
      <c r="P38" s="196"/>
      <c r="Q38" s="196"/>
    </row>
    <row r="39" spans="1:17" ht="26.25" customHeight="1">
      <c r="A39" s="243">
        <v>6</v>
      </c>
      <c r="B39" s="515" t="s">
        <v>952</v>
      </c>
      <c r="C39" s="154">
        <v>223</v>
      </c>
      <c r="D39" s="154">
        <v>740</v>
      </c>
      <c r="E39" s="251">
        <v>53248</v>
      </c>
      <c r="F39" s="795">
        <f t="shared" si="1"/>
        <v>53.2</v>
      </c>
      <c r="G39" s="656"/>
      <c r="H39" s="189"/>
      <c r="I39" s="189"/>
      <c r="J39" s="189"/>
      <c r="K39" s="189"/>
      <c r="L39" s="189"/>
      <c r="M39" s="189"/>
      <c r="N39" s="189"/>
      <c r="O39" s="189"/>
      <c r="P39" s="189"/>
      <c r="Q39" s="189"/>
    </row>
    <row r="40" spans="1:17" ht="26.25" customHeight="1">
      <c r="A40" s="233">
        <v>7</v>
      </c>
      <c r="B40" s="546" t="s">
        <v>953</v>
      </c>
      <c r="C40" s="154">
        <v>223</v>
      </c>
      <c r="D40" s="154">
        <v>740</v>
      </c>
      <c r="E40" s="651">
        <v>735</v>
      </c>
      <c r="F40" s="795">
        <f t="shared" si="1"/>
        <v>0.7</v>
      </c>
      <c r="G40" s="656"/>
      <c r="H40" s="894" t="s">
        <v>254</v>
      </c>
      <c r="I40" s="189">
        <v>78</v>
      </c>
      <c r="J40" s="189"/>
      <c r="K40" s="189"/>
      <c r="L40" s="189"/>
      <c r="M40" s="189"/>
      <c r="N40" s="189"/>
      <c r="O40" s="189"/>
      <c r="P40" s="189"/>
      <c r="Q40" s="189"/>
    </row>
    <row r="41" spans="1:17" ht="15.75" customHeight="1">
      <c r="A41" s="1047" t="s">
        <v>198</v>
      </c>
      <c r="B41" s="1048"/>
      <c r="C41" s="1048"/>
      <c r="D41" s="1049"/>
      <c r="E41" s="652">
        <f>SUM(E34:E36)</f>
        <v>460120</v>
      </c>
      <c r="F41" s="796">
        <f>SUM(F34:F36)</f>
        <v>460.1</v>
      </c>
      <c r="G41" s="656"/>
      <c r="H41" s="189"/>
      <c r="I41" s="189"/>
      <c r="J41" s="189"/>
      <c r="K41" s="189"/>
      <c r="L41" s="189"/>
      <c r="M41" s="189"/>
      <c r="N41" s="189"/>
      <c r="O41" s="189"/>
      <c r="P41" s="189"/>
      <c r="Q41" s="189"/>
    </row>
    <row r="42" spans="1:17">
      <c r="A42" s="1047" t="s">
        <v>10</v>
      </c>
      <c r="B42" s="1048"/>
      <c r="C42" s="1048"/>
      <c r="D42" s="1049"/>
      <c r="E42" s="652">
        <f>SUM(E34:E40)</f>
        <v>3416554</v>
      </c>
      <c r="F42" s="797">
        <f>SUM(F34:F40)</f>
        <v>3416.4999999999995</v>
      </c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</row>
    <row r="43" spans="1:17" ht="15" customHeight="1">
      <c r="A43" s="701"/>
      <c r="B43" s="701"/>
      <c r="C43" s="701"/>
      <c r="D43" s="701"/>
      <c r="E43" s="701"/>
      <c r="F43" s="701"/>
      <c r="G43" s="701"/>
      <c r="H43" s="746"/>
      <c r="I43" s="466"/>
    </row>
    <row r="44" spans="1:17" ht="15" customHeight="1">
      <c r="A44" s="186"/>
      <c r="B44" s="186"/>
      <c r="C44" s="186"/>
      <c r="D44" s="186"/>
      <c r="E44" s="186"/>
      <c r="F44" s="186"/>
      <c r="G44" s="186"/>
      <c r="H44" s="186"/>
      <c r="I44" s="188"/>
    </row>
    <row r="45" spans="1:17">
      <c r="A45" s="1041" t="s">
        <v>35</v>
      </c>
      <c r="B45" s="1041"/>
      <c r="C45" s="1041"/>
      <c r="D45" s="1041"/>
      <c r="E45" s="1041"/>
      <c r="F45" s="1041"/>
      <c r="G45" s="1041"/>
      <c r="H45" s="1041"/>
      <c r="I45" s="1041"/>
      <c r="J45" s="700"/>
      <c r="K45" s="700"/>
    </row>
    <row r="46" spans="1:17" ht="15" customHeight="1">
      <c r="A46" s="998" t="s">
        <v>623</v>
      </c>
      <c r="B46" s="998"/>
      <c r="C46" s="998"/>
      <c r="D46" s="998"/>
      <c r="E46" s="998"/>
      <c r="F46" s="998"/>
      <c r="G46" s="998"/>
      <c r="H46" s="998"/>
      <c r="I46" s="998"/>
    </row>
    <row r="47" spans="1:17" ht="24" customHeight="1">
      <c r="A47" s="157" t="s">
        <v>483</v>
      </c>
      <c r="B47" s="157" t="s">
        <v>715</v>
      </c>
      <c r="C47" s="154" t="s">
        <v>568</v>
      </c>
      <c r="D47" s="157" t="s">
        <v>614</v>
      </c>
      <c r="E47" s="157" t="s">
        <v>668</v>
      </c>
      <c r="F47" s="1007" t="s">
        <v>728</v>
      </c>
      <c r="G47" s="1007"/>
      <c r="H47" s="268" t="s">
        <v>690</v>
      </c>
      <c r="I47" s="157" t="s">
        <v>626</v>
      </c>
    </row>
    <row r="48" spans="1:17" ht="15" customHeight="1">
      <c r="A48" s="160">
        <v>1</v>
      </c>
      <c r="B48" s="160">
        <v>2</v>
      </c>
      <c r="C48" s="160">
        <v>3</v>
      </c>
      <c r="D48" s="160">
        <v>4</v>
      </c>
      <c r="E48" s="160">
        <v>5</v>
      </c>
      <c r="F48" s="1023">
        <v>6</v>
      </c>
      <c r="G48" s="1023"/>
      <c r="H48" s="269">
        <v>7</v>
      </c>
      <c r="I48" s="160">
        <v>8</v>
      </c>
    </row>
    <row r="49" spans="1:11" ht="24">
      <c r="A49" s="160">
        <v>1</v>
      </c>
      <c r="B49" s="437" t="s">
        <v>720</v>
      </c>
      <c r="C49" s="157">
        <v>221</v>
      </c>
      <c r="D49" s="154"/>
      <c r="E49" s="243">
        <v>12</v>
      </c>
      <c r="F49" s="1102">
        <v>2832</v>
      </c>
      <c r="G49" s="1102"/>
      <c r="H49" s="274">
        <f>F49*E49</f>
        <v>33984</v>
      </c>
      <c r="I49" s="265">
        <f>ROUND((F49*E49)/1000,1)</f>
        <v>34</v>
      </c>
    </row>
    <row r="50" spans="1:11" ht="15" customHeight="1">
      <c r="A50" s="1059" t="s">
        <v>628</v>
      </c>
      <c r="B50" s="1059"/>
      <c r="C50" s="1059"/>
      <c r="D50" s="1059"/>
      <c r="E50" s="1059"/>
      <c r="F50" s="1059"/>
      <c r="G50" s="1059"/>
      <c r="H50" s="706">
        <f>H49</f>
        <v>33984</v>
      </c>
      <c r="I50" s="275">
        <f>I49</f>
        <v>34</v>
      </c>
    </row>
    <row r="51" spans="1:11" ht="15" customHeight="1"/>
    <row r="52" spans="1:11" ht="15" customHeight="1">
      <c r="A52" s="1064" t="s">
        <v>36</v>
      </c>
      <c r="B52" s="1064"/>
      <c r="C52" s="1064"/>
      <c r="D52" s="1064"/>
      <c r="E52" s="1064"/>
      <c r="F52" s="1064"/>
      <c r="G52" s="1064"/>
      <c r="H52" s="1064"/>
      <c r="I52" s="1064"/>
    </row>
    <row r="53" spans="1:11" ht="24">
      <c r="A53" s="157" t="s">
        <v>483</v>
      </c>
      <c r="B53" s="157" t="s">
        <v>715</v>
      </c>
      <c r="C53" s="154" t="s">
        <v>568</v>
      </c>
      <c r="D53" s="157" t="s">
        <v>614</v>
      </c>
      <c r="E53" s="157" t="s">
        <v>635</v>
      </c>
      <c r="F53" s="1007" t="s">
        <v>630</v>
      </c>
      <c r="G53" s="1007"/>
      <c r="H53" s="268" t="s">
        <v>690</v>
      </c>
      <c r="I53" s="157" t="s">
        <v>626</v>
      </c>
      <c r="J53" s="700"/>
      <c r="K53" s="700"/>
    </row>
    <row r="54" spans="1:11" ht="15" customHeight="1">
      <c r="A54" s="160">
        <v>1</v>
      </c>
      <c r="B54" s="160">
        <v>2</v>
      </c>
      <c r="C54" s="160">
        <v>3</v>
      </c>
      <c r="D54" s="160">
        <v>4</v>
      </c>
      <c r="E54" s="160">
        <v>5</v>
      </c>
      <c r="F54" s="1023">
        <v>6</v>
      </c>
      <c r="G54" s="1023"/>
      <c r="H54" s="269">
        <v>7</v>
      </c>
      <c r="I54" s="160">
        <v>8</v>
      </c>
    </row>
    <row r="55" spans="1:11" ht="36">
      <c r="A55" s="160">
        <v>1</v>
      </c>
      <c r="B55" s="437" t="s">
        <v>721</v>
      </c>
      <c r="C55" s="157">
        <v>346</v>
      </c>
      <c r="D55" s="154"/>
      <c r="E55" s="243">
        <v>1</v>
      </c>
      <c r="F55" s="1102">
        <v>10616</v>
      </c>
      <c r="G55" s="1102"/>
      <c r="H55" s="274">
        <f>F55*E55</f>
        <v>10616</v>
      </c>
      <c r="I55" s="276">
        <f>ROUND((F55*E55)/1000,1)</f>
        <v>10.6</v>
      </c>
    </row>
    <row r="56" spans="1:11" ht="15" customHeight="1">
      <c r="A56" s="995" t="s">
        <v>876</v>
      </c>
      <c r="B56" s="995"/>
      <c r="C56" s="995"/>
      <c r="D56" s="995"/>
      <c r="E56" s="995"/>
      <c r="F56" s="995"/>
      <c r="G56" s="995"/>
      <c r="H56" s="707">
        <f>H55</f>
        <v>10616</v>
      </c>
      <c r="I56" s="275">
        <f>SUM(I55:I55)</f>
        <v>10.6</v>
      </c>
    </row>
    <row r="57" spans="1:11" ht="15" customHeight="1">
      <c r="A57" s="186"/>
      <c r="B57" s="186"/>
      <c r="C57" s="186"/>
      <c r="D57" s="186"/>
      <c r="E57" s="186"/>
      <c r="F57" s="186"/>
      <c r="G57" s="186"/>
      <c r="H57" s="186"/>
      <c r="I57" s="188"/>
    </row>
    <row r="58" spans="1:11" ht="15" customHeight="1">
      <c r="A58" s="186"/>
      <c r="B58" s="186"/>
      <c r="C58" s="186"/>
      <c r="D58" s="186"/>
      <c r="E58" s="186"/>
      <c r="F58" s="186"/>
      <c r="G58" s="186"/>
      <c r="H58" s="186"/>
      <c r="I58" s="188"/>
    </row>
    <row r="59" spans="1:11" ht="15" customHeight="1">
      <c r="A59" s="1041" t="s">
        <v>37</v>
      </c>
      <c r="B59" s="1041"/>
      <c r="C59" s="1041"/>
      <c r="D59" s="1041"/>
      <c r="E59" s="1041"/>
      <c r="F59" s="1041"/>
      <c r="G59" s="1041"/>
      <c r="H59" s="1041"/>
      <c r="I59" s="1041"/>
    </row>
    <row r="60" spans="1:11">
      <c r="A60" s="998" t="s">
        <v>716</v>
      </c>
      <c r="B60" s="998"/>
      <c r="C60" s="998"/>
      <c r="D60" s="998"/>
      <c r="E60" s="998"/>
      <c r="F60" s="998"/>
      <c r="G60" s="998"/>
      <c r="H60" s="998"/>
      <c r="I60" s="998"/>
    </row>
    <row r="61" spans="1:11" ht="24">
      <c r="A61" s="157" t="s">
        <v>483</v>
      </c>
      <c r="B61" s="157" t="s">
        <v>715</v>
      </c>
      <c r="C61" s="154" t="s">
        <v>568</v>
      </c>
      <c r="D61" s="157" t="s">
        <v>614</v>
      </c>
      <c r="E61" s="157" t="s">
        <v>668</v>
      </c>
      <c r="F61" s="1007" t="s">
        <v>722</v>
      </c>
      <c r="G61" s="1007"/>
      <c r="H61" s="268" t="s">
        <v>690</v>
      </c>
      <c r="I61" s="157" t="s">
        <v>626</v>
      </c>
    </row>
    <row r="62" spans="1:11">
      <c r="A62" s="160">
        <v>1</v>
      </c>
      <c r="B62" s="160">
        <v>2</v>
      </c>
      <c r="C62" s="160">
        <v>3</v>
      </c>
      <c r="D62" s="160">
        <v>4</v>
      </c>
      <c r="E62" s="160">
        <v>5</v>
      </c>
      <c r="F62" s="1023">
        <v>6</v>
      </c>
      <c r="G62" s="1023"/>
      <c r="H62" s="269">
        <v>7</v>
      </c>
      <c r="I62" s="160">
        <v>8</v>
      </c>
    </row>
    <row r="63" spans="1:11" ht="24">
      <c r="A63" s="160">
        <v>1</v>
      </c>
      <c r="B63" s="437" t="s">
        <v>159</v>
      </c>
      <c r="C63" s="157">
        <v>297</v>
      </c>
      <c r="D63" s="154"/>
      <c r="E63" s="243">
        <v>4</v>
      </c>
      <c r="F63" s="1102">
        <v>80000</v>
      </c>
      <c r="G63" s="1102"/>
      <c r="H63" s="274">
        <f>F63*E63</f>
        <v>320000</v>
      </c>
      <c r="I63" s="265">
        <f>ROUND((F63*E63)/1000,1)</f>
        <v>320</v>
      </c>
    </row>
    <row r="64" spans="1:11">
      <c r="A64" s="1059" t="s">
        <v>723</v>
      </c>
      <c r="B64" s="1059"/>
      <c r="C64" s="1059"/>
      <c r="D64" s="1059"/>
      <c r="E64" s="1059"/>
      <c r="F64" s="1059"/>
      <c r="G64" s="1059"/>
      <c r="H64" s="706">
        <f>H63</f>
        <v>320000</v>
      </c>
      <c r="I64" s="275">
        <f>I63</f>
        <v>320</v>
      </c>
    </row>
    <row r="65" spans="1:9" ht="15" customHeight="1">
      <c r="A65" s="186"/>
      <c r="B65" s="186"/>
      <c r="C65" s="186"/>
      <c r="D65" s="186"/>
      <c r="E65" s="186"/>
      <c r="F65" s="186"/>
      <c r="G65" s="186"/>
      <c r="H65" s="186"/>
      <c r="I65" s="188"/>
    </row>
    <row r="66" spans="1:9" ht="15" customHeight="1">
      <c r="A66" s="186"/>
      <c r="B66" s="186"/>
      <c r="C66" s="186"/>
      <c r="D66" s="186"/>
      <c r="E66" s="186"/>
      <c r="F66" s="186"/>
      <c r="G66" s="186"/>
      <c r="H66" s="186"/>
      <c r="I66" s="188"/>
    </row>
    <row r="67" spans="1:9" ht="30.75" customHeight="1">
      <c r="A67" s="988" t="s">
        <v>44</v>
      </c>
      <c r="B67" s="1041"/>
      <c r="C67" s="1041"/>
      <c r="D67" s="1041"/>
      <c r="E67" s="1041"/>
      <c r="F67" s="1041"/>
      <c r="G67" s="1041"/>
      <c r="H67" s="1041"/>
      <c r="I67" s="1041"/>
    </row>
    <row r="68" spans="1:9" ht="15" customHeight="1">
      <c r="A68" s="994" t="s">
        <v>741</v>
      </c>
      <c r="B68" s="994"/>
      <c r="C68" s="994"/>
      <c r="D68" s="994"/>
      <c r="E68" s="994"/>
      <c r="F68" s="994"/>
      <c r="G68" s="994"/>
      <c r="H68" s="994"/>
      <c r="I68" s="994"/>
    </row>
    <row r="69" spans="1:9" ht="24">
      <c r="A69" s="157" t="s">
        <v>483</v>
      </c>
      <c r="B69" s="157" t="s">
        <v>715</v>
      </c>
      <c r="C69" s="154" t="s">
        <v>568</v>
      </c>
      <c r="D69" s="157" t="s">
        <v>614</v>
      </c>
      <c r="E69" s="157" t="s">
        <v>668</v>
      </c>
      <c r="F69" s="1007" t="s">
        <v>728</v>
      </c>
      <c r="G69" s="1007"/>
      <c r="H69" s="157" t="s">
        <v>690</v>
      </c>
      <c r="I69" s="157" t="s">
        <v>626</v>
      </c>
    </row>
    <row r="70" spans="1:9" ht="15" customHeight="1">
      <c r="A70" s="160">
        <v>1</v>
      </c>
      <c r="B70" s="160">
        <v>2</v>
      </c>
      <c r="C70" s="160">
        <v>3</v>
      </c>
      <c r="D70" s="160">
        <v>4</v>
      </c>
      <c r="E70" s="160">
        <v>5</v>
      </c>
      <c r="F70" s="1023">
        <v>6</v>
      </c>
      <c r="G70" s="1023"/>
      <c r="H70" s="160">
        <v>7</v>
      </c>
      <c r="I70" s="160">
        <v>8</v>
      </c>
    </row>
    <row r="71" spans="1:9" ht="24">
      <c r="A71" s="160">
        <v>1</v>
      </c>
      <c r="B71" s="437" t="s">
        <v>39</v>
      </c>
      <c r="C71" s="157">
        <v>225</v>
      </c>
      <c r="D71" s="154">
        <v>770</v>
      </c>
      <c r="E71" s="243">
        <v>12</v>
      </c>
      <c r="F71" s="1102">
        <v>24350</v>
      </c>
      <c r="G71" s="1102"/>
      <c r="H71" s="462">
        <f>F71*E71+7404.76</f>
        <v>299604.76</v>
      </c>
      <c r="I71" s="265">
        <f>ROUND(H71/1000,1)</f>
        <v>299.60000000000002</v>
      </c>
    </row>
    <row r="72" spans="1:9" ht="15" customHeight="1">
      <c r="A72" s="1059" t="s">
        <v>628</v>
      </c>
      <c r="B72" s="1059"/>
      <c r="C72" s="1059"/>
      <c r="D72" s="1059"/>
      <c r="E72" s="1059"/>
      <c r="F72" s="1059"/>
      <c r="G72" s="1059"/>
      <c r="H72" s="705">
        <f>H71</f>
        <v>299604.76</v>
      </c>
      <c r="I72" s="275">
        <f>I71</f>
        <v>299.60000000000002</v>
      </c>
    </row>
    <row r="73" spans="1:9" ht="15" customHeight="1">
      <c r="A73" s="186"/>
      <c r="B73" s="186"/>
      <c r="C73" s="186"/>
      <c r="D73" s="186"/>
      <c r="E73" s="186"/>
      <c r="F73" s="186"/>
      <c r="G73" s="186"/>
      <c r="H73" s="186"/>
      <c r="I73" s="188"/>
    </row>
    <row r="74" spans="1:9" ht="15" customHeight="1">
      <c r="A74" s="186"/>
      <c r="B74" s="186"/>
      <c r="C74" s="186"/>
      <c r="D74" s="186"/>
      <c r="E74" s="186"/>
      <c r="F74" s="186"/>
      <c r="G74" s="186"/>
      <c r="H74" s="186"/>
      <c r="I74" s="188"/>
    </row>
    <row r="75" spans="1:9" ht="15" customHeight="1">
      <c r="A75" s="1104" t="s">
        <v>43</v>
      </c>
      <c r="B75" s="1104"/>
      <c r="C75" s="1104"/>
      <c r="D75" s="1104"/>
      <c r="E75" s="1104"/>
      <c r="F75" s="1104"/>
      <c r="G75" s="1104"/>
      <c r="H75" s="1104"/>
      <c r="I75" s="700"/>
    </row>
    <row r="76" spans="1:9" ht="15" customHeight="1">
      <c r="A76" s="1103" t="s">
        <v>40</v>
      </c>
      <c r="B76" s="1103"/>
      <c r="C76" s="1103"/>
      <c r="D76" s="1103"/>
      <c r="E76" s="1103"/>
      <c r="F76" s="1103"/>
      <c r="G76" s="1103"/>
      <c r="H76" s="1103"/>
    </row>
    <row r="77" spans="1:9" ht="24">
      <c r="A77" s="157" t="s">
        <v>483</v>
      </c>
      <c r="B77" s="157" t="s">
        <v>715</v>
      </c>
      <c r="C77" s="154" t="s">
        <v>568</v>
      </c>
      <c r="D77" s="157" t="s">
        <v>614</v>
      </c>
      <c r="E77" s="157" t="s">
        <v>668</v>
      </c>
      <c r="F77" s="157" t="s">
        <v>630</v>
      </c>
      <c r="G77" s="157" t="s">
        <v>690</v>
      </c>
      <c r="H77" s="157" t="s">
        <v>626</v>
      </c>
    </row>
    <row r="78" spans="1:9">
      <c r="A78" s="160">
        <v>1</v>
      </c>
      <c r="B78" s="160">
        <v>2</v>
      </c>
      <c r="C78" s="160">
        <v>3</v>
      </c>
      <c r="D78" s="160">
        <v>4</v>
      </c>
      <c r="E78" s="160">
        <v>5</v>
      </c>
      <c r="F78" s="160">
        <v>6</v>
      </c>
      <c r="G78" s="160">
        <v>7</v>
      </c>
      <c r="H78" s="160">
        <v>8</v>
      </c>
    </row>
    <row r="79" spans="1:9" ht="48">
      <c r="A79" s="160">
        <v>1</v>
      </c>
      <c r="B79" s="229" t="s">
        <v>41</v>
      </c>
      <c r="C79" s="157">
        <v>226</v>
      </c>
      <c r="D79" s="218" t="s">
        <v>587</v>
      </c>
      <c r="E79" s="243">
        <v>8</v>
      </c>
      <c r="F79" s="251">
        <v>5000</v>
      </c>
      <c r="G79" s="249">
        <f>F79*E79</f>
        <v>40000</v>
      </c>
      <c r="H79" s="276">
        <f>ROUND((F79*E79)/1000,1)</f>
        <v>40</v>
      </c>
    </row>
    <row r="80" spans="1:9" ht="48">
      <c r="A80" s="160">
        <v>2</v>
      </c>
      <c r="B80" s="229" t="s">
        <v>41</v>
      </c>
      <c r="C80" s="157">
        <v>226</v>
      </c>
      <c r="D80" s="218" t="s">
        <v>587</v>
      </c>
      <c r="E80" s="243"/>
      <c r="F80" s="251">
        <v>15000</v>
      </c>
      <c r="G80" s="249">
        <f>F80*E80</f>
        <v>0</v>
      </c>
      <c r="H80" s="276">
        <f>ROUND((F80*E80)/1000,1)</f>
        <v>0</v>
      </c>
    </row>
    <row r="81" spans="1:9" ht="48">
      <c r="A81" s="160">
        <v>3</v>
      </c>
      <c r="B81" s="229" t="s">
        <v>41</v>
      </c>
      <c r="C81" s="157">
        <v>226</v>
      </c>
      <c r="D81" s="218" t="s">
        <v>587</v>
      </c>
      <c r="E81" s="243"/>
      <c r="F81" s="251">
        <v>10000</v>
      </c>
      <c r="G81" s="249">
        <f>F81*E81</f>
        <v>0</v>
      </c>
      <c r="H81" s="276">
        <f>ROUND((F81*E81)/1000,1)</f>
        <v>0</v>
      </c>
      <c r="I81" s="825"/>
    </row>
    <row r="82" spans="1:9">
      <c r="A82" s="1059" t="s">
        <v>42</v>
      </c>
      <c r="B82" s="1059"/>
      <c r="C82" s="1059"/>
      <c r="D82" s="1059"/>
      <c r="E82" s="1059"/>
      <c r="F82" s="1059"/>
      <c r="G82" s="705">
        <f>SUM(G79:G81)</f>
        <v>40000</v>
      </c>
      <c r="H82" s="275">
        <f>SUM(H79:H81)</f>
        <v>40</v>
      </c>
    </row>
    <row r="83" spans="1:9" ht="15" customHeight="1"/>
    <row r="85" spans="1:9">
      <c r="A85" s="992" t="s">
        <v>621</v>
      </c>
      <c r="B85" s="992"/>
      <c r="C85" s="162"/>
      <c r="D85" s="993"/>
      <c r="E85" s="993"/>
      <c r="F85" s="162"/>
      <c r="G85" s="993" t="str">
        <f ca="1">рВДЛ!G29</f>
        <v>М.В. Златова</v>
      </c>
      <c r="H85" s="993"/>
    </row>
    <row r="86" spans="1:9">
      <c r="A86" s="1001" t="s">
        <v>554</v>
      </c>
      <c r="B86" s="1001"/>
      <c r="C86" s="163"/>
      <c r="D86" s="1001" t="s">
        <v>555</v>
      </c>
      <c r="E86" s="1001"/>
      <c r="F86" s="163"/>
      <c r="G86" s="1002" t="s">
        <v>556</v>
      </c>
      <c r="H86" s="1002"/>
    </row>
    <row r="87" spans="1:9">
      <c r="A87" s="992" t="str">
        <f ca="1">рВДЛ!A31</f>
        <v>Исполнитель: финансист</v>
      </c>
      <c r="B87" s="992"/>
      <c r="C87" s="162"/>
      <c r="D87" s="993"/>
      <c r="E87" s="993"/>
      <c r="F87" s="162"/>
      <c r="G87" s="993" t="str">
        <f ca="1">рВДЛ!G31</f>
        <v>Е.Н. Рыбалка</v>
      </c>
      <c r="H87" s="993"/>
    </row>
    <row r="88" spans="1:9">
      <c r="A88" s="1001" t="s">
        <v>554</v>
      </c>
      <c r="B88" s="1001"/>
      <c r="C88" s="163"/>
      <c r="D88" s="1001" t="s">
        <v>555</v>
      </c>
      <c r="E88" s="1001"/>
      <c r="F88" s="163"/>
      <c r="G88" s="1002" t="s">
        <v>556</v>
      </c>
      <c r="H88" s="1002"/>
    </row>
    <row r="95" spans="1:9" ht="15" customHeight="1"/>
    <row r="96" spans="1:9" ht="60" customHeight="1"/>
  </sheetData>
  <mergeCells count="83">
    <mergeCell ref="A3:H3"/>
    <mergeCell ref="A4:H4"/>
    <mergeCell ref="I24:I25"/>
    <mergeCell ref="I22:I23"/>
    <mergeCell ref="A24:A25"/>
    <mergeCell ref="B24:B25"/>
    <mergeCell ref="C24:C25"/>
    <mergeCell ref="D24:D25"/>
    <mergeCell ref="E24:E25"/>
    <mergeCell ref="A22:A23"/>
    <mergeCell ref="A88:B88"/>
    <mergeCell ref="D88:E88"/>
    <mergeCell ref="G88:H88"/>
    <mergeCell ref="A59:I59"/>
    <mergeCell ref="A60:I60"/>
    <mergeCell ref="F61:G61"/>
    <mergeCell ref="A85:B85"/>
    <mergeCell ref="D85:E85"/>
    <mergeCell ref="G85:H85"/>
    <mergeCell ref="A86:B86"/>
    <mergeCell ref="D86:E86"/>
    <mergeCell ref="G86:H86"/>
    <mergeCell ref="E20:E21"/>
    <mergeCell ref="I20:I21"/>
    <mergeCell ref="B22:B23"/>
    <mergeCell ref="C22:C23"/>
    <mergeCell ref="D22:D23"/>
    <mergeCell ref="E22:E23"/>
    <mergeCell ref="F48:G48"/>
    <mergeCell ref="F63:G63"/>
    <mergeCell ref="A64:G64"/>
    <mergeCell ref="F62:G62"/>
    <mergeCell ref="A82:F82"/>
    <mergeCell ref="A76:H76"/>
    <mergeCell ref="F71:G71"/>
    <mergeCell ref="A72:G72"/>
    <mergeCell ref="A75:H75"/>
    <mergeCell ref="A52:I52"/>
    <mergeCell ref="A1:I1"/>
    <mergeCell ref="A87:B87"/>
    <mergeCell ref="D87:E87"/>
    <mergeCell ref="G87:H87"/>
    <mergeCell ref="A56:G56"/>
    <mergeCell ref="A50:G50"/>
    <mergeCell ref="A45:I45"/>
    <mergeCell ref="F55:G55"/>
    <mergeCell ref="F47:G47"/>
    <mergeCell ref="C20:C21"/>
    <mergeCell ref="D20:D21"/>
    <mergeCell ref="A26:A27"/>
    <mergeCell ref="B26:B27"/>
    <mergeCell ref="C26:C27"/>
    <mergeCell ref="D26:D27"/>
    <mergeCell ref="A41:D41"/>
    <mergeCell ref="A42:D42"/>
    <mergeCell ref="F69:G69"/>
    <mergeCell ref="F70:G70"/>
    <mergeCell ref="A67:I67"/>
    <mergeCell ref="A68:I68"/>
    <mergeCell ref="A46:I46"/>
    <mergeCell ref="F49:G49"/>
    <mergeCell ref="F53:G53"/>
    <mergeCell ref="F54:G54"/>
    <mergeCell ref="A6:H6"/>
    <mergeCell ref="A7:H7"/>
    <mergeCell ref="A11:F11"/>
    <mergeCell ref="L31:Q31"/>
    <mergeCell ref="A14:I14"/>
    <mergeCell ref="A15:I15"/>
    <mergeCell ref="A18:A19"/>
    <mergeCell ref="B18:B19"/>
    <mergeCell ref="C18:C19"/>
    <mergeCell ref="D18:D19"/>
    <mergeCell ref="E18:E19"/>
    <mergeCell ref="I18:I19"/>
    <mergeCell ref="L32:L33"/>
    <mergeCell ref="E26:E27"/>
    <mergeCell ref="A29:G29"/>
    <mergeCell ref="A31:F31"/>
    <mergeCell ref="I26:I27"/>
    <mergeCell ref="A28:G28"/>
    <mergeCell ref="A20:A21"/>
    <mergeCell ref="B20:B21"/>
  </mergeCells>
  <phoneticPr fontId="0" type="noConversion"/>
  <pageMargins left="0.7" right="0.7" top="0.75" bottom="0.75" header="0.3" footer="0.3"/>
  <pageSetup paperSize="9" orientation="portrait" verticalDpi="0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8"/>
  <sheetViews>
    <sheetView showZeros="0" workbookViewId="0">
      <selection activeCell="H38" sqref="H38"/>
    </sheetView>
  </sheetViews>
  <sheetFormatPr defaultColWidth="3.5703125" defaultRowHeight="15"/>
  <cols>
    <col min="1" max="1" width="49.42578125" customWidth="1"/>
    <col min="2" max="3" width="3.5703125" customWidth="1"/>
    <col min="4" max="4" width="11.42578125" customWidth="1"/>
    <col min="5" max="7" width="5.7109375" customWidth="1"/>
    <col min="8" max="8" width="9" customWidth="1"/>
    <col min="9" max="9" width="18.7109375" style="549" customWidth="1"/>
    <col min="10" max="253" width="9.140625" customWidth="1"/>
    <col min="254" max="254" width="49.42578125" customWidth="1"/>
  </cols>
  <sheetData>
    <row r="1" spans="1:9" s="119" customFormat="1" ht="17.25" customHeight="1">
      <c r="A1" s="118"/>
      <c r="D1" s="1105" t="s">
        <v>552</v>
      </c>
      <c r="E1" s="1105"/>
      <c r="F1" s="1105"/>
      <c r="G1" s="1105"/>
      <c r="H1" s="1105"/>
      <c r="I1" s="749"/>
    </row>
    <row r="2" spans="1:9" s="119" customFormat="1" ht="17.25" customHeight="1">
      <c r="A2" s="120"/>
      <c r="B2" s="120"/>
      <c r="C2" s="120"/>
      <c r="D2" s="1106" t="s">
        <v>553</v>
      </c>
      <c r="E2" s="1106"/>
      <c r="F2" s="1106"/>
      <c r="G2" s="1106"/>
      <c r="H2" s="1106"/>
      <c r="I2" s="749"/>
    </row>
    <row r="3" spans="1:9" s="119" customFormat="1" ht="12" customHeight="1">
      <c r="A3" s="121"/>
      <c r="B3" s="121"/>
      <c r="C3" s="121"/>
      <c r="D3" s="1107" t="s">
        <v>554</v>
      </c>
      <c r="E3" s="1107"/>
      <c r="F3" s="1107"/>
      <c r="G3" s="1107"/>
      <c r="H3" s="1107"/>
      <c r="I3" s="749"/>
    </row>
    <row r="4" spans="1:9" s="119" customFormat="1" ht="17.25" customHeight="1">
      <c r="D4" s="1108"/>
      <c r="E4" s="1108"/>
      <c r="F4" s="1108" t="str">
        <f ca="1">сВДЛ!F4</f>
        <v>М.В. Златова</v>
      </c>
      <c r="G4" s="1108"/>
      <c r="H4" s="1108"/>
      <c r="I4" s="749"/>
    </row>
    <row r="5" spans="1:9" s="119" customFormat="1" ht="10.5" customHeight="1">
      <c r="A5" s="122"/>
      <c r="D5" s="1107" t="s">
        <v>555</v>
      </c>
      <c r="E5" s="1107"/>
      <c r="F5" s="1107" t="s">
        <v>556</v>
      </c>
      <c r="G5" s="1107"/>
      <c r="H5" s="1107"/>
      <c r="I5" s="749"/>
    </row>
    <row r="6" spans="1:9" s="119" customFormat="1" ht="15" customHeight="1">
      <c r="A6" s="1113" t="s">
        <v>557</v>
      </c>
      <c r="B6" s="1113"/>
      <c r="C6" s="1113"/>
      <c r="D6" s="1113"/>
      <c r="E6" s="1113"/>
      <c r="F6" s="1113"/>
      <c r="G6" s="1113"/>
      <c r="H6" s="1113"/>
      <c r="I6" s="695"/>
    </row>
    <row r="7" spans="1:9" s="119" customFormat="1" ht="15" customHeight="1">
      <c r="A7" s="1113" t="str">
        <f ca="1">'СВОД смет'!A7:H7</f>
        <v>на 2021 год</v>
      </c>
      <c r="B7" s="1113"/>
      <c r="C7" s="1113"/>
      <c r="D7" s="1113"/>
      <c r="E7" s="1113"/>
      <c r="F7" s="1113"/>
      <c r="G7" s="1113"/>
      <c r="H7" s="1113"/>
      <c r="I7" s="695"/>
    </row>
    <row r="8" spans="1:9" s="119" customFormat="1" ht="13.5" customHeight="1">
      <c r="A8" s="123"/>
      <c r="B8" s="123"/>
      <c r="C8" s="123"/>
      <c r="D8" s="123"/>
      <c r="E8" s="1114"/>
      <c r="F8" s="1115"/>
      <c r="G8" s="1116" t="s">
        <v>558</v>
      </c>
      <c r="H8" s="1117"/>
      <c r="I8" s="696"/>
    </row>
    <row r="9" spans="1:9" s="119" customFormat="1" ht="13.5" customHeight="1">
      <c r="A9" s="1109" t="s">
        <v>559</v>
      </c>
      <c r="B9" s="1109"/>
      <c r="C9" s="1109"/>
      <c r="D9" s="1110"/>
      <c r="E9" s="1111" t="s">
        <v>560</v>
      </c>
      <c r="F9" s="1111"/>
      <c r="G9" s="1112">
        <v>4109076</v>
      </c>
      <c r="H9" s="1112"/>
      <c r="I9" s="697"/>
    </row>
    <row r="10" spans="1:9" s="119" customFormat="1" ht="13.5" customHeight="1">
      <c r="A10" s="1123" t="s">
        <v>561</v>
      </c>
      <c r="B10" s="1123"/>
      <c r="C10" s="1123"/>
      <c r="D10" s="1124"/>
      <c r="E10" s="1111" t="s">
        <v>562</v>
      </c>
      <c r="F10" s="1111"/>
      <c r="G10" s="1112"/>
      <c r="H10" s="1112"/>
      <c r="I10" s="697"/>
    </row>
    <row r="11" spans="1:9" s="119" customFormat="1" ht="13.5" customHeight="1">
      <c r="A11" s="134" t="s">
        <v>563</v>
      </c>
      <c r="B11" s="124"/>
      <c r="C11" s="124"/>
      <c r="D11" s="124"/>
      <c r="E11" s="1111" t="s">
        <v>564</v>
      </c>
      <c r="F11" s="1111"/>
      <c r="G11" s="1112">
        <v>384</v>
      </c>
      <c r="H11" s="1112"/>
      <c r="I11" s="698"/>
    </row>
    <row r="12" spans="1:9" s="1" customFormat="1">
      <c r="A12" s="1125" t="s">
        <v>409</v>
      </c>
      <c r="B12" s="1125"/>
      <c r="C12" s="1125"/>
      <c r="D12" s="1125"/>
      <c r="E12" s="1125"/>
      <c r="F12" s="1125"/>
      <c r="G12" s="1125"/>
      <c r="H12" s="1125"/>
      <c r="I12" s="750"/>
    </row>
    <row r="13" spans="1:9" s="1" customFormat="1" ht="6" customHeight="1">
      <c r="E13" s="125"/>
      <c r="F13" s="125"/>
      <c r="G13" s="125"/>
      <c r="H13" s="125"/>
      <c r="I13" s="750"/>
    </row>
    <row r="14" spans="1:9" s="1" customFormat="1">
      <c r="A14" s="1118" t="s">
        <v>565</v>
      </c>
      <c r="B14" s="1119" t="s">
        <v>566</v>
      </c>
      <c r="C14" s="1120"/>
      <c r="D14" s="1120"/>
      <c r="E14" s="1120"/>
      <c r="F14" s="1120"/>
      <c r="G14" s="1121"/>
      <c r="H14" s="1122" t="s">
        <v>873</v>
      </c>
      <c r="I14" s="750"/>
    </row>
    <row r="15" spans="1:9" ht="46.5" customHeight="1">
      <c r="A15" s="1118"/>
      <c r="B15" s="135" t="s">
        <v>351</v>
      </c>
      <c r="C15" s="135" t="s">
        <v>352</v>
      </c>
      <c r="D15" s="136" t="s">
        <v>353</v>
      </c>
      <c r="E15" s="135" t="s">
        <v>567</v>
      </c>
      <c r="F15" s="136" t="s">
        <v>568</v>
      </c>
      <c r="G15" s="136" t="s">
        <v>569</v>
      </c>
      <c r="H15" s="1122"/>
      <c r="I15" s="751"/>
    </row>
    <row r="16" spans="1:9">
      <c r="A16" s="512" t="s">
        <v>852</v>
      </c>
      <c r="B16" s="529" t="s">
        <v>360</v>
      </c>
      <c r="C16" s="529" t="s">
        <v>368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57.7</v>
      </c>
    </row>
    <row r="17" spans="1:8">
      <c r="A17" s="513" t="s">
        <v>853</v>
      </c>
      <c r="B17" s="525"/>
      <c r="C17" s="525"/>
      <c r="D17" s="525"/>
      <c r="E17" s="525"/>
      <c r="F17" s="506">
        <v>210</v>
      </c>
      <c r="G17" s="506"/>
      <c r="H17" s="526">
        <f>H18+H19+H21+H22</f>
        <v>0</v>
      </c>
    </row>
    <row r="18" spans="1:8">
      <c r="A18" s="514" t="s">
        <v>571</v>
      </c>
      <c r="B18" s="128"/>
      <c r="C18" s="128"/>
      <c r="D18" s="128"/>
      <c r="E18" s="465"/>
      <c r="F18" s="507">
        <v>211</v>
      </c>
      <c r="G18" s="507"/>
      <c r="H18" s="137"/>
    </row>
    <row r="19" spans="1:8">
      <c r="A19" s="514" t="s">
        <v>854</v>
      </c>
      <c r="B19" s="128"/>
      <c r="C19" s="128"/>
      <c r="D19" s="128"/>
      <c r="E19" s="464"/>
      <c r="F19" s="507">
        <v>212</v>
      </c>
      <c r="G19" s="507"/>
      <c r="H19" s="137">
        <f>H20</f>
        <v>0</v>
      </c>
    </row>
    <row r="20" spans="1:8">
      <c r="A20" s="515" t="s">
        <v>572</v>
      </c>
      <c r="B20" s="126"/>
      <c r="C20" s="126"/>
      <c r="D20" s="126"/>
      <c r="E20" s="463"/>
      <c r="F20" s="508">
        <v>212</v>
      </c>
      <c r="G20" s="508">
        <v>610</v>
      </c>
      <c r="H20" s="129"/>
    </row>
    <row r="21" spans="1:8">
      <c r="A21" s="514" t="s">
        <v>855</v>
      </c>
      <c r="B21" s="128"/>
      <c r="C21" s="128"/>
      <c r="D21" s="128"/>
      <c r="E21" s="465"/>
      <c r="F21" s="507">
        <v>213</v>
      </c>
      <c r="G21" s="507"/>
      <c r="H21" s="137"/>
    </row>
    <row r="22" spans="1:8" ht="24">
      <c r="A22" s="514" t="s">
        <v>856</v>
      </c>
      <c r="B22" s="128"/>
      <c r="C22" s="128"/>
      <c r="D22" s="128"/>
      <c r="E22" s="464"/>
      <c r="F22" s="507">
        <v>214</v>
      </c>
      <c r="G22" s="507"/>
      <c r="H22" s="137">
        <f>H23</f>
        <v>0</v>
      </c>
    </row>
    <row r="23" spans="1:8">
      <c r="A23" s="515" t="s">
        <v>646</v>
      </c>
      <c r="B23" s="126"/>
      <c r="C23" s="126"/>
      <c r="D23" s="126"/>
      <c r="E23" s="463"/>
      <c r="F23" s="508">
        <v>214</v>
      </c>
      <c r="G23" s="508">
        <v>831</v>
      </c>
      <c r="H23" s="129"/>
    </row>
    <row r="24" spans="1:8">
      <c r="A24" s="513" t="s">
        <v>857</v>
      </c>
      <c r="B24" s="525" t="s">
        <v>360</v>
      </c>
      <c r="C24" s="525" t="s">
        <v>368</v>
      </c>
      <c r="D24" s="525" t="s">
        <v>411</v>
      </c>
      <c r="E24" s="525" t="s">
        <v>375</v>
      </c>
      <c r="F24" s="506">
        <v>220</v>
      </c>
      <c r="G24" s="506"/>
      <c r="H24" s="526">
        <f>H25+H26+H28+H32+H36</f>
        <v>57.7</v>
      </c>
    </row>
    <row r="25" spans="1:8">
      <c r="A25" s="514" t="s">
        <v>576</v>
      </c>
      <c r="B25" s="128"/>
      <c r="C25" s="128"/>
      <c r="D25" s="128"/>
      <c r="E25" s="128"/>
      <c r="F25" s="507">
        <v>221</v>
      </c>
      <c r="G25" s="507"/>
      <c r="H25" s="137">
        <f ca="1">рПВУ!H10</f>
        <v>0</v>
      </c>
    </row>
    <row r="26" spans="1:8">
      <c r="A26" s="514" t="s">
        <v>858</v>
      </c>
      <c r="B26" s="128"/>
      <c r="C26" s="128"/>
      <c r="D26" s="128"/>
      <c r="E26" s="128"/>
      <c r="F26" s="507">
        <v>222</v>
      </c>
      <c r="G26" s="507"/>
      <c r="H26" s="137">
        <f>H27</f>
        <v>0</v>
      </c>
    </row>
    <row r="27" spans="1:8">
      <c r="A27" s="515" t="s">
        <v>577</v>
      </c>
      <c r="B27" s="126"/>
      <c r="C27" s="126"/>
      <c r="D27" s="126"/>
      <c r="E27" s="126"/>
      <c r="F27" s="508">
        <v>222</v>
      </c>
      <c r="G27" s="508">
        <v>500</v>
      </c>
      <c r="H27" s="129"/>
    </row>
    <row r="28" spans="1:8">
      <c r="A28" s="514" t="s">
        <v>578</v>
      </c>
      <c r="B28" s="128"/>
      <c r="C28" s="128"/>
      <c r="D28" s="128"/>
      <c r="E28" s="128"/>
      <c r="F28" s="507">
        <v>223</v>
      </c>
      <c r="G28" s="507"/>
      <c r="H28" s="137">
        <f>SUM(H29:H31)</f>
        <v>0</v>
      </c>
    </row>
    <row r="29" spans="1:8">
      <c r="A29" s="515" t="s">
        <v>579</v>
      </c>
      <c r="B29" s="126"/>
      <c r="C29" s="126"/>
      <c r="D29" s="126"/>
      <c r="E29" s="126"/>
      <c r="F29" s="508">
        <v>223</v>
      </c>
      <c r="G29" s="508">
        <v>721</v>
      </c>
      <c r="H29" s="129"/>
    </row>
    <row r="30" spans="1:8">
      <c r="A30" s="515" t="s">
        <v>580</v>
      </c>
      <c r="B30" s="126"/>
      <c r="C30" s="126"/>
      <c r="D30" s="126"/>
      <c r="E30" s="126"/>
      <c r="F30" s="508">
        <v>223</v>
      </c>
      <c r="G30" s="508">
        <v>730</v>
      </c>
      <c r="H30" s="129"/>
    </row>
    <row r="31" spans="1:8">
      <c r="A31" s="515" t="s">
        <v>581</v>
      </c>
      <c r="B31" s="126"/>
      <c r="C31" s="126"/>
      <c r="D31" s="126"/>
      <c r="E31" s="126"/>
      <c r="F31" s="508">
        <v>223</v>
      </c>
      <c r="G31" s="508">
        <v>740</v>
      </c>
      <c r="H31" s="129"/>
    </row>
    <row r="32" spans="1:8">
      <c r="A32" s="514" t="s">
        <v>859</v>
      </c>
      <c r="B32" s="128"/>
      <c r="C32" s="128"/>
      <c r="D32" s="128"/>
      <c r="E32" s="128"/>
      <c r="F32" s="507">
        <v>225</v>
      </c>
      <c r="G32" s="507"/>
      <c r="H32" s="137">
        <f>SUM(H33:H35)</f>
        <v>0</v>
      </c>
    </row>
    <row r="33" spans="1:9">
      <c r="A33" s="437" t="s">
        <v>416</v>
      </c>
      <c r="B33" s="126"/>
      <c r="C33" s="126"/>
      <c r="D33" s="126"/>
      <c r="E33" s="126"/>
      <c r="F33" s="509">
        <v>225</v>
      </c>
      <c r="G33" s="509" t="s">
        <v>582</v>
      </c>
      <c r="H33" s="129"/>
    </row>
    <row r="34" spans="1:9" ht="24">
      <c r="A34" s="515" t="s">
        <v>860</v>
      </c>
      <c r="B34" s="126"/>
      <c r="C34" s="126"/>
      <c r="D34" s="126"/>
      <c r="E34" s="126"/>
      <c r="F34" s="508">
        <v>225</v>
      </c>
      <c r="G34" s="508" t="s">
        <v>583</v>
      </c>
      <c r="H34" s="129"/>
      <c r="I34" s="752"/>
    </row>
    <row r="35" spans="1:9">
      <c r="A35" s="515" t="s">
        <v>861</v>
      </c>
      <c r="B35" s="128"/>
      <c r="C35" s="128"/>
      <c r="D35" s="128"/>
      <c r="E35" s="128"/>
      <c r="F35" s="508">
        <v>225</v>
      </c>
      <c r="G35" s="508" t="s">
        <v>872</v>
      </c>
      <c r="H35" s="129"/>
    </row>
    <row r="36" spans="1:9">
      <c r="A36" s="514" t="s">
        <v>785</v>
      </c>
      <c r="B36" s="128" t="s">
        <v>360</v>
      </c>
      <c r="C36" s="128" t="s">
        <v>368</v>
      </c>
      <c r="D36" s="128" t="s">
        <v>411</v>
      </c>
      <c r="E36" s="128" t="s">
        <v>640</v>
      </c>
      <c r="F36" s="507" t="s">
        <v>575</v>
      </c>
      <c r="G36" s="507"/>
      <c r="H36" s="137">
        <f>SUM(H37:H43)</f>
        <v>57.7</v>
      </c>
    </row>
    <row r="37" spans="1:9">
      <c r="A37" s="515" t="s">
        <v>584</v>
      </c>
      <c r="B37" s="126"/>
      <c r="C37" s="126"/>
      <c r="D37" s="126"/>
      <c r="E37" s="126"/>
      <c r="F37" s="508">
        <v>226</v>
      </c>
      <c r="G37" s="508" t="s">
        <v>585</v>
      </c>
      <c r="H37" s="129"/>
      <c r="I37" s="753"/>
    </row>
    <row r="38" spans="1:9">
      <c r="A38" s="515" t="s">
        <v>586</v>
      </c>
      <c r="B38" s="126" t="s">
        <v>360</v>
      </c>
      <c r="C38" s="126" t="s">
        <v>368</v>
      </c>
      <c r="D38" s="126" t="s">
        <v>411</v>
      </c>
      <c r="E38" s="126" t="s">
        <v>640</v>
      </c>
      <c r="F38" s="508">
        <v>226</v>
      </c>
      <c r="G38" s="508" t="s">
        <v>587</v>
      </c>
      <c r="H38" s="129">
        <f ca="1">рПВУ!I16</f>
        <v>57.7</v>
      </c>
    </row>
    <row r="39" spans="1:9" ht="24">
      <c r="A39" s="515" t="s">
        <v>862</v>
      </c>
      <c r="B39" s="126"/>
      <c r="C39" s="126"/>
      <c r="D39" s="126"/>
      <c r="E39" s="126"/>
      <c r="F39" s="508">
        <v>226</v>
      </c>
      <c r="G39" s="508" t="s">
        <v>588</v>
      </c>
      <c r="H39" s="129"/>
    </row>
    <row r="40" spans="1:9">
      <c r="A40" s="515" t="s">
        <v>573</v>
      </c>
      <c r="B40" s="126"/>
      <c r="C40" s="126"/>
      <c r="D40" s="126"/>
      <c r="E40" s="463"/>
      <c r="F40" s="508">
        <v>226</v>
      </c>
      <c r="G40" s="508">
        <v>620</v>
      </c>
      <c r="H40" s="129"/>
    </row>
    <row r="41" spans="1:9">
      <c r="A41" s="515" t="s">
        <v>574</v>
      </c>
      <c r="B41" s="126"/>
      <c r="C41" s="126"/>
      <c r="D41" s="126"/>
      <c r="E41" s="463"/>
      <c r="F41" s="508">
        <v>226</v>
      </c>
      <c r="G41" s="508">
        <v>630</v>
      </c>
      <c r="H41" s="129"/>
    </row>
    <row r="42" spans="1:9">
      <c r="A42" s="515" t="s">
        <v>908</v>
      </c>
      <c r="B42" s="126"/>
      <c r="C42" s="126"/>
      <c r="D42" s="126"/>
      <c r="E42" s="126"/>
      <c r="F42" s="508">
        <v>226</v>
      </c>
      <c r="G42" s="508">
        <v>843</v>
      </c>
      <c r="H42" s="129"/>
    </row>
    <row r="43" spans="1:9">
      <c r="A43" s="437" t="s">
        <v>596</v>
      </c>
      <c r="B43" s="138"/>
      <c r="C43" s="138"/>
      <c r="D43" s="138"/>
      <c r="E43" s="138"/>
      <c r="F43" s="509">
        <v>226</v>
      </c>
      <c r="G43" s="509">
        <v>845</v>
      </c>
      <c r="H43" s="520"/>
    </row>
    <row r="44" spans="1:9" ht="25.5">
      <c r="A44" s="527" t="s">
        <v>848</v>
      </c>
      <c r="B44" s="522"/>
      <c r="C44" s="522"/>
      <c r="D44" s="522"/>
      <c r="E44" s="522"/>
      <c r="F44" s="506">
        <v>240</v>
      </c>
      <c r="G44" s="506"/>
      <c r="H44" s="523">
        <f>H45</f>
        <v>0</v>
      </c>
    </row>
    <row r="45" spans="1:9" ht="24">
      <c r="A45" s="127" t="s">
        <v>851</v>
      </c>
      <c r="B45" s="138"/>
      <c r="C45" s="138"/>
      <c r="D45" s="138"/>
      <c r="E45" s="138"/>
      <c r="F45" s="511">
        <v>244</v>
      </c>
      <c r="G45" s="511"/>
      <c r="H45" s="521"/>
    </row>
    <row r="46" spans="1:9">
      <c r="A46" s="513" t="s">
        <v>863</v>
      </c>
      <c r="B46" s="522"/>
      <c r="C46" s="522"/>
      <c r="D46" s="522"/>
      <c r="E46" s="522"/>
      <c r="F46" s="506" t="s">
        <v>589</v>
      </c>
      <c r="G46" s="506"/>
      <c r="H46" s="523">
        <f>H47</f>
        <v>0</v>
      </c>
      <c r="I46" s="752"/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522"/>
      <c r="C48" s="522"/>
      <c r="D48" s="522"/>
      <c r="E48" s="464"/>
      <c r="F48" s="506" t="s">
        <v>591</v>
      </c>
      <c r="G48" s="506"/>
      <c r="H48" s="523">
        <f>H49+H51</f>
        <v>0</v>
      </c>
    </row>
    <row r="49" spans="1:8" ht="24">
      <c r="A49" s="514" t="s">
        <v>866</v>
      </c>
      <c r="B49" s="138"/>
      <c r="C49" s="138"/>
      <c r="D49" s="138"/>
      <c r="E49" s="138"/>
      <c r="F49" s="507">
        <v>264</v>
      </c>
      <c r="G49" s="507"/>
      <c r="H49" s="521">
        <f>H50</f>
        <v>0</v>
      </c>
    </row>
    <row r="50" spans="1:8">
      <c r="A50" s="515" t="s">
        <v>592</v>
      </c>
      <c r="B50" s="128"/>
      <c r="C50" s="128"/>
      <c r="D50" s="128"/>
      <c r="E50" s="128"/>
      <c r="F50" s="508">
        <v>264</v>
      </c>
      <c r="G50" s="508" t="s">
        <v>593</v>
      </c>
      <c r="H50" s="129"/>
    </row>
    <row r="51" spans="1:8" ht="24">
      <c r="A51" s="514" t="s">
        <v>607</v>
      </c>
      <c r="B51" s="128"/>
      <c r="C51" s="128"/>
      <c r="D51" s="128"/>
      <c r="E51" s="464"/>
      <c r="F51" s="507">
        <v>266</v>
      </c>
      <c r="G51" s="507"/>
      <c r="H51" s="137"/>
    </row>
    <row r="52" spans="1:8">
      <c r="A52" s="513" t="s">
        <v>594</v>
      </c>
      <c r="B52" s="522"/>
      <c r="C52" s="522"/>
      <c r="D52" s="522"/>
      <c r="E52" s="522"/>
      <c r="F52" s="506" t="s">
        <v>595</v>
      </c>
      <c r="G52" s="506"/>
      <c r="H52" s="523">
        <f>SUM(H53:H58)</f>
        <v>0</v>
      </c>
    </row>
    <row r="53" spans="1:8">
      <c r="A53" s="516" t="s">
        <v>604</v>
      </c>
      <c r="B53" s="261"/>
      <c r="C53" s="261"/>
      <c r="D53" s="261"/>
      <c r="E53" s="261"/>
      <c r="F53" s="510">
        <v>291</v>
      </c>
      <c r="G53" s="510"/>
      <c r="H53" s="521"/>
    </row>
    <row r="54" spans="1:8">
      <c r="A54" s="516" t="s">
        <v>605</v>
      </c>
      <c r="B54" s="533"/>
      <c r="C54" s="533"/>
      <c r="D54" s="533"/>
      <c r="E54" s="533"/>
      <c r="F54" s="510">
        <v>292</v>
      </c>
      <c r="G54" s="510"/>
      <c r="H54" s="137"/>
    </row>
    <row r="55" spans="1:8">
      <c r="A55" s="516" t="s">
        <v>606</v>
      </c>
      <c r="B55" s="533"/>
      <c r="C55" s="533"/>
      <c r="D55" s="533"/>
      <c r="E55" s="533"/>
      <c r="F55" s="510">
        <v>293</v>
      </c>
      <c r="G55" s="510"/>
      <c r="H55" s="137"/>
    </row>
    <row r="56" spans="1:8">
      <c r="A56" s="516" t="s">
        <v>877</v>
      </c>
      <c r="B56" s="128"/>
      <c r="C56" s="128"/>
      <c r="D56" s="128"/>
      <c r="E56" s="128"/>
      <c r="F56" s="510">
        <v>295</v>
      </c>
      <c r="G56" s="510"/>
      <c r="H56" s="137"/>
    </row>
    <row r="57" spans="1:8">
      <c r="A57" s="516" t="s">
        <v>867</v>
      </c>
      <c r="B57" s="533"/>
      <c r="C57" s="533"/>
      <c r="D57" s="533"/>
      <c r="E57" s="533"/>
      <c r="F57" s="510">
        <v>296</v>
      </c>
      <c r="G57" s="510"/>
      <c r="H57" s="137"/>
    </row>
    <row r="58" spans="1:8">
      <c r="A58" s="516" t="s">
        <v>877</v>
      </c>
      <c r="B58" s="128"/>
      <c r="C58" s="128"/>
      <c r="D58" s="128"/>
      <c r="E58" s="128"/>
      <c r="F58" s="510">
        <v>297</v>
      </c>
      <c r="G58" s="510"/>
      <c r="H58" s="137"/>
    </row>
    <row r="59" spans="1:8">
      <c r="A59" s="513" t="s">
        <v>868</v>
      </c>
      <c r="B59" s="522"/>
      <c r="C59" s="522"/>
      <c r="D59" s="522"/>
      <c r="E59" s="522"/>
      <c r="F59" s="506" t="s">
        <v>436</v>
      </c>
      <c r="G59" s="506"/>
      <c r="H59" s="523">
        <f>H60+H62+H63+H64</f>
        <v>0</v>
      </c>
    </row>
    <row r="60" spans="1:8">
      <c r="A60" s="514" t="s">
        <v>597</v>
      </c>
      <c r="B60" s="261"/>
      <c r="C60" s="261"/>
      <c r="D60" s="261"/>
      <c r="E60" s="261"/>
      <c r="F60" s="511" t="s">
        <v>598</v>
      </c>
      <c r="G60" s="511"/>
      <c r="H60" s="521">
        <f>H61</f>
        <v>0</v>
      </c>
    </row>
    <row r="61" spans="1:8">
      <c r="A61" s="515" t="s">
        <v>599</v>
      </c>
      <c r="B61" s="126"/>
      <c r="C61" s="126"/>
      <c r="D61" s="126"/>
      <c r="E61" s="126"/>
      <c r="F61" s="508">
        <v>310</v>
      </c>
      <c r="G61" s="508" t="s">
        <v>600</v>
      </c>
      <c r="H61" s="129"/>
    </row>
    <row r="62" spans="1:8">
      <c r="A62" s="517" t="s">
        <v>869</v>
      </c>
      <c r="B62" s="128"/>
      <c r="C62" s="128"/>
      <c r="D62" s="128"/>
      <c r="E62" s="128"/>
      <c r="F62" s="511">
        <v>343</v>
      </c>
      <c r="G62" s="511"/>
      <c r="H62" s="137"/>
    </row>
    <row r="63" spans="1:8" ht="24">
      <c r="A63" s="517" t="s">
        <v>870</v>
      </c>
      <c r="B63" s="128"/>
      <c r="C63" s="128"/>
      <c r="D63" s="128"/>
      <c r="E63" s="128"/>
      <c r="F63" s="511">
        <v>346</v>
      </c>
      <c r="G63" s="511"/>
      <c r="H63" s="137">
        <f ca="1">рПВУ!H22</f>
        <v>0</v>
      </c>
    </row>
    <row r="64" spans="1:8" ht="24">
      <c r="A64" s="517" t="s">
        <v>871</v>
      </c>
      <c r="B64" s="128"/>
      <c r="C64" s="128"/>
      <c r="D64" s="128"/>
      <c r="E64" s="128"/>
      <c r="F64" s="511">
        <v>349</v>
      </c>
      <c r="G64" s="511"/>
      <c r="H64" s="137"/>
    </row>
    <row r="65" spans="1:9">
      <c r="A65" s="517" t="s">
        <v>710</v>
      </c>
      <c r="B65" s="128" t="s">
        <v>360</v>
      </c>
      <c r="C65" s="128" t="s">
        <v>368</v>
      </c>
      <c r="D65" s="128" t="s">
        <v>411</v>
      </c>
      <c r="E65" s="128" t="s">
        <v>375</v>
      </c>
      <c r="F65" s="511"/>
      <c r="G65" s="511"/>
      <c r="H65" s="137">
        <f>H36</f>
        <v>57.7</v>
      </c>
    </row>
    <row r="66" spans="1:9">
      <c r="A66" s="519" t="s">
        <v>602</v>
      </c>
      <c r="B66" s="128" t="s">
        <v>360</v>
      </c>
      <c r="C66" s="128" t="s">
        <v>368</v>
      </c>
      <c r="D66" s="128" t="s">
        <v>708</v>
      </c>
      <c r="E66" s="128" t="s">
        <v>570</v>
      </c>
      <c r="F66" s="518"/>
      <c r="G66" s="518"/>
      <c r="H66" s="137">
        <f>H59+H16</f>
        <v>57.7</v>
      </c>
    </row>
    <row r="67" spans="1:9">
      <c r="A67" s="130"/>
      <c r="B67" s="131"/>
      <c r="C67" s="131"/>
      <c r="D67" s="131"/>
      <c r="E67" s="131"/>
      <c r="F67" s="131"/>
      <c r="G67" s="131"/>
      <c r="H67" s="132"/>
    </row>
    <row r="68" spans="1:9">
      <c r="I68" s="752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92D050"/>
  </sheetPr>
  <dimension ref="A1:N33"/>
  <sheetViews>
    <sheetView workbookViewId="0">
      <selection activeCell="H15" sqref="H15"/>
    </sheetView>
  </sheetViews>
  <sheetFormatPr defaultColWidth="4" defaultRowHeight="15"/>
  <cols>
    <col min="1" max="1" width="4" style="262" customWidth="1"/>
    <col min="2" max="2" width="24.7109375" style="262" customWidth="1"/>
    <col min="3" max="4" width="6.5703125" style="262" customWidth="1"/>
    <col min="5" max="5" width="9.28515625" style="262" customWidth="1"/>
    <col min="6" max="6" width="12.42578125" style="262" customWidth="1"/>
    <col min="7" max="7" width="10.28515625" style="262" customWidth="1"/>
    <col min="8" max="8" width="11.7109375" style="262" customWidth="1"/>
    <col min="9" max="9" width="11.5703125" style="262" customWidth="1"/>
    <col min="10" max="10" width="12.5703125" style="262" customWidth="1"/>
    <col min="11" max="11" width="10.5703125" style="262" bestFit="1" customWidth="1"/>
    <col min="12" max="12" width="9.140625" style="262" customWidth="1"/>
    <col min="13" max="13" width="12.140625" style="262" customWidth="1"/>
    <col min="14" max="255" width="9.140625" style="262" customWidth="1"/>
    <col min="256" max="16384" width="4" style="262"/>
  </cols>
  <sheetData>
    <row r="1" spans="1:10">
      <c r="A1" s="1041" t="s">
        <v>409</v>
      </c>
      <c r="B1" s="1041"/>
      <c r="C1" s="1041"/>
      <c r="D1" s="1041"/>
      <c r="E1" s="1041"/>
      <c r="F1" s="1041"/>
      <c r="G1" s="1041"/>
      <c r="H1" s="1041"/>
      <c r="I1" s="149"/>
    </row>
    <row r="3" spans="1:10" ht="15.75">
      <c r="A3" s="1003" t="s">
        <v>609</v>
      </c>
      <c r="B3" s="1003"/>
      <c r="C3" s="1003"/>
      <c r="D3" s="1003"/>
      <c r="E3" s="1003"/>
      <c r="F3" s="1003"/>
      <c r="G3" s="1003"/>
      <c r="H3" s="1003"/>
      <c r="I3" s="187"/>
    </row>
    <row r="4" spans="1:10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  <c r="I4" s="188"/>
    </row>
    <row r="5" spans="1:10" ht="15" customHeight="1">
      <c r="A5" s="186"/>
      <c r="B5" s="186"/>
      <c r="C5" s="186"/>
      <c r="D5" s="186"/>
      <c r="E5" s="186"/>
      <c r="F5" s="186"/>
      <c r="G5" s="186"/>
      <c r="H5" s="186"/>
      <c r="I5" s="188"/>
    </row>
    <row r="6" spans="1:10">
      <c r="A6" s="994" t="s">
        <v>623</v>
      </c>
      <c r="B6" s="994"/>
      <c r="C6" s="994"/>
      <c r="D6" s="994"/>
      <c r="E6" s="994"/>
      <c r="F6" s="994"/>
      <c r="G6" s="994"/>
      <c r="H6" s="994"/>
    </row>
    <row r="7" spans="1:10" ht="24" customHeight="1">
      <c r="A7" s="157" t="s">
        <v>483</v>
      </c>
      <c r="B7" s="157" t="s">
        <v>715</v>
      </c>
      <c r="C7" s="154" t="s">
        <v>568</v>
      </c>
      <c r="D7" s="157" t="s">
        <v>614</v>
      </c>
      <c r="E7" s="157" t="s">
        <v>668</v>
      </c>
      <c r="F7" s="157" t="s">
        <v>728</v>
      </c>
      <c r="G7" s="157" t="s">
        <v>690</v>
      </c>
      <c r="H7" s="157" t="s">
        <v>626</v>
      </c>
    </row>
    <row r="8" spans="1:10">
      <c r="A8" s="160">
        <v>1</v>
      </c>
      <c r="B8" s="160">
        <v>2</v>
      </c>
      <c r="C8" s="160">
        <v>3</v>
      </c>
      <c r="D8" s="160">
        <v>4</v>
      </c>
      <c r="E8" s="160">
        <v>5</v>
      </c>
      <c r="F8" s="160">
        <v>6</v>
      </c>
      <c r="G8" s="160">
        <v>7</v>
      </c>
      <c r="H8" s="160">
        <v>8</v>
      </c>
    </row>
    <row r="9" spans="1:10">
      <c r="A9" s="160">
        <v>1</v>
      </c>
      <c r="B9" s="437" t="s">
        <v>729</v>
      </c>
      <c r="C9" s="157">
        <v>221</v>
      </c>
      <c r="D9" s="154"/>
      <c r="E9" s="243">
        <v>0</v>
      </c>
      <c r="F9" s="251">
        <v>2367.96</v>
      </c>
      <c r="G9" s="462">
        <f>E9*F9</f>
        <v>0</v>
      </c>
      <c r="H9" s="265">
        <f>ROUND(G9/1000,1)</f>
        <v>0</v>
      </c>
      <c r="J9" s="271"/>
    </row>
    <row r="10" spans="1:10">
      <c r="A10" s="999" t="s">
        <v>628</v>
      </c>
      <c r="B10" s="1000"/>
      <c r="C10" s="1000"/>
      <c r="D10" s="1000"/>
      <c r="E10" s="1000"/>
      <c r="F10" s="1099"/>
      <c r="G10" s="705">
        <f>G9</f>
        <v>0</v>
      </c>
      <c r="H10" s="275">
        <f>H9</f>
        <v>0</v>
      </c>
    </row>
    <row r="12" spans="1:10">
      <c r="A12" s="998" t="s">
        <v>732</v>
      </c>
      <c r="B12" s="998"/>
      <c r="C12" s="998"/>
      <c r="D12" s="998"/>
      <c r="E12" s="998"/>
      <c r="F12" s="998"/>
      <c r="G12" s="998"/>
      <c r="H12" s="998"/>
      <c r="I12" s="998"/>
    </row>
    <row r="13" spans="1:10" ht="24" customHeight="1">
      <c r="A13" s="157" t="s">
        <v>483</v>
      </c>
      <c r="B13" s="157" t="s">
        <v>715</v>
      </c>
      <c r="C13" s="154" t="s">
        <v>568</v>
      </c>
      <c r="D13" s="157" t="s">
        <v>614</v>
      </c>
      <c r="E13" s="157" t="s">
        <v>668</v>
      </c>
      <c r="F13" s="184" t="s">
        <v>725</v>
      </c>
      <c r="G13" s="157" t="s">
        <v>731</v>
      </c>
      <c r="H13" s="268" t="s">
        <v>690</v>
      </c>
      <c r="I13" s="157" t="s">
        <v>626</v>
      </c>
    </row>
    <row r="14" spans="1:10">
      <c r="A14" s="160">
        <v>1</v>
      </c>
      <c r="B14" s="160">
        <v>2</v>
      </c>
      <c r="C14" s="160">
        <v>3</v>
      </c>
      <c r="D14" s="160">
        <v>4</v>
      </c>
      <c r="E14" s="160">
        <v>5</v>
      </c>
      <c r="F14" s="160">
        <v>6</v>
      </c>
      <c r="G14" s="160">
        <v>7</v>
      </c>
      <c r="H14" s="269">
        <v>8</v>
      </c>
      <c r="I14" s="160">
        <v>9</v>
      </c>
    </row>
    <row r="15" spans="1:10" ht="27" customHeight="1">
      <c r="A15" s="160">
        <v>1</v>
      </c>
      <c r="B15" s="437" t="s">
        <v>730</v>
      </c>
      <c r="C15" s="157">
        <v>226</v>
      </c>
      <c r="D15" s="218" t="s">
        <v>587</v>
      </c>
      <c r="E15" s="243">
        <v>12</v>
      </c>
      <c r="F15" s="858">
        <v>7647.5</v>
      </c>
      <c r="G15" s="858">
        <v>2309.5500000000002</v>
      </c>
      <c r="H15" s="536">
        <v>57700</v>
      </c>
      <c r="I15" s="265">
        <f>ROUND(H15/1000,1)</f>
        <v>57.7</v>
      </c>
      <c r="J15" s="271"/>
    </row>
    <row r="16" spans="1:10">
      <c r="A16" s="1059" t="s">
        <v>633</v>
      </c>
      <c r="B16" s="1059"/>
      <c r="C16" s="1059"/>
      <c r="D16" s="1059"/>
      <c r="E16" s="1059"/>
      <c r="F16" s="1059"/>
      <c r="G16" s="1059"/>
      <c r="H16" s="706">
        <f>H15</f>
        <v>57700</v>
      </c>
      <c r="I16" s="275">
        <f>I15</f>
        <v>57.7</v>
      </c>
    </row>
    <row r="18" spans="1:14">
      <c r="A18" s="1088" t="s">
        <v>36</v>
      </c>
      <c r="B18" s="1088"/>
      <c r="C18" s="1088"/>
      <c r="D18" s="1088"/>
      <c r="E18" s="1088"/>
      <c r="F18" s="1088"/>
      <c r="G18" s="1088"/>
      <c r="H18" s="1088"/>
    </row>
    <row r="19" spans="1:14" ht="24" customHeight="1">
      <c r="A19" s="198" t="s">
        <v>483</v>
      </c>
      <c r="B19" s="157" t="s">
        <v>715</v>
      </c>
      <c r="C19" s="199" t="s">
        <v>568</v>
      </c>
      <c r="D19" s="198" t="s">
        <v>614</v>
      </c>
      <c r="E19" s="198" t="s">
        <v>635</v>
      </c>
      <c r="F19" s="198" t="s">
        <v>630</v>
      </c>
      <c r="G19" s="238" t="s">
        <v>690</v>
      </c>
      <c r="H19" s="198" t="s">
        <v>626</v>
      </c>
    </row>
    <row r="20" spans="1:14">
      <c r="A20" s="160">
        <v>1</v>
      </c>
      <c r="B20" s="160">
        <v>2</v>
      </c>
      <c r="C20" s="160">
        <v>3</v>
      </c>
      <c r="D20" s="160">
        <v>4</v>
      </c>
      <c r="E20" s="160">
        <v>5</v>
      </c>
      <c r="F20" s="160">
        <v>6</v>
      </c>
      <c r="G20" s="252">
        <v>7</v>
      </c>
      <c r="H20" s="160">
        <v>8</v>
      </c>
    </row>
    <row r="21" spans="1:14">
      <c r="A21" s="160">
        <v>1</v>
      </c>
      <c r="B21" s="437" t="s">
        <v>686</v>
      </c>
      <c r="C21" s="157">
        <v>346</v>
      </c>
      <c r="D21" s="154"/>
      <c r="E21" s="199"/>
      <c r="F21" s="199"/>
      <c r="G21" s="462">
        <f>E21*F21</f>
        <v>0</v>
      </c>
      <c r="H21" s="207">
        <f>ROUND(G21/1000,1)</f>
        <v>0</v>
      </c>
      <c r="I21" s="271"/>
    </row>
    <row r="22" spans="1:14">
      <c r="A22" s="995" t="s">
        <v>687</v>
      </c>
      <c r="B22" s="995"/>
      <c r="C22" s="995"/>
      <c r="D22" s="995"/>
      <c r="E22" s="995"/>
      <c r="F22" s="995"/>
      <c r="G22" s="686">
        <f>SUM(G21:G21)</f>
        <v>0</v>
      </c>
      <c r="H22" s="259">
        <f>H21</f>
        <v>0</v>
      </c>
    </row>
    <row r="25" spans="1:14">
      <c r="A25" s="992" t="s">
        <v>621</v>
      </c>
      <c r="B25" s="992"/>
      <c r="C25" s="162"/>
      <c r="D25" s="993"/>
      <c r="E25" s="993"/>
      <c r="F25" s="162"/>
      <c r="G25" s="993" t="str">
        <f ca="1">рВДЛ!G29</f>
        <v>М.В. Златова</v>
      </c>
      <c r="H25" s="993"/>
    </row>
    <row r="26" spans="1:14" s="139" customFormat="1">
      <c r="A26" s="1001" t="s">
        <v>554</v>
      </c>
      <c r="B26" s="1001"/>
      <c r="C26" s="163"/>
      <c r="D26" s="1001" t="s">
        <v>555</v>
      </c>
      <c r="E26" s="1001"/>
      <c r="F26" s="163"/>
      <c r="G26" s="1002" t="s">
        <v>556</v>
      </c>
      <c r="H26" s="1002"/>
      <c r="K26" s="140"/>
      <c r="L26" s="140"/>
      <c r="M26" s="140"/>
      <c r="N26" s="140"/>
    </row>
    <row r="27" spans="1:14" s="139" customFormat="1">
      <c r="A27" s="992" t="str">
        <f ca="1">рВДЛ!A31</f>
        <v>Исполнитель: финансист</v>
      </c>
      <c r="B27" s="992"/>
      <c r="C27" s="162"/>
      <c r="D27" s="993"/>
      <c r="E27" s="993"/>
      <c r="F27" s="162"/>
      <c r="G27" s="993" t="str">
        <f ca="1">рВДЛ!G31</f>
        <v>Е.Н. Рыбалка</v>
      </c>
      <c r="H27" s="993"/>
    </row>
    <row r="28" spans="1:14" s="139" customFormat="1">
      <c r="A28" s="1001" t="s">
        <v>554</v>
      </c>
      <c r="B28" s="1001"/>
      <c r="C28" s="163"/>
      <c r="D28" s="1001" t="s">
        <v>555</v>
      </c>
      <c r="E28" s="1001"/>
      <c r="F28" s="163"/>
      <c r="G28" s="1002" t="s">
        <v>556</v>
      </c>
      <c r="H28" s="1002"/>
    </row>
    <row r="29" spans="1:14" s="139" customFormat="1"/>
    <row r="32" spans="1:14">
      <c r="H32" s="860" t="s">
        <v>160</v>
      </c>
      <c r="I32" s="861">
        <v>57700</v>
      </c>
      <c r="J32" s="262" t="b">
        <f>I32=(H10+I16+H22)*1000</f>
        <v>1</v>
      </c>
    </row>
    <row r="33" spans="8:8">
      <c r="H33" s="862" t="s">
        <v>161</v>
      </c>
    </row>
  </sheetData>
  <mergeCells count="21">
    <mergeCell ref="A1:H1"/>
    <mergeCell ref="A3:H3"/>
    <mergeCell ref="A4:H4"/>
    <mergeCell ref="A12:I12"/>
    <mergeCell ref="A16:G16"/>
    <mergeCell ref="A6:H6"/>
    <mergeCell ref="A10:F10"/>
    <mergeCell ref="A28:B28"/>
    <mergeCell ref="D28:E28"/>
    <mergeCell ref="G28:H28"/>
    <mergeCell ref="A26:B26"/>
    <mergeCell ref="D26:E26"/>
    <mergeCell ref="A27:B27"/>
    <mergeCell ref="D27:E27"/>
    <mergeCell ref="A22:F22"/>
    <mergeCell ref="A18:H18"/>
    <mergeCell ref="G27:H27"/>
    <mergeCell ref="G26:H26"/>
    <mergeCell ref="A25:B25"/>
    <mergeCell ref="D25:E25"/>
    <mergeCell ref="G25:H25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8"/>
  <sheetViews>
    <sheetView showZeros="0" topLeftCell="A40" workbookViewId="0">
      <selection activeCell="H39" sqref="H39"/>
    </sheetView>
  </sheetViews>
  <sheetFormatPr defaultColWidth="3.5703125" defaultRowHeight="15"/>
  <cols>
    <col min="1" max="1" width="49.42578125" customWidth="1"/>
    <col min="2" max="3" width="3.5703125" customWidth="1"/>
    <col min="4" max="4" width="11.42578125" customWidth="1"/>
    <col min="5" max="7" width="5.7109375" customWidth="1"/>
    <col min="8" max="8" width="9" customWidth="1"/>
    <col min="9" max="9" width="18.7109375" style="549" customWidth="1"/>
    <col min="10" max="253" width="9.140625" customWidth="1"/>
    <col min="254" max="254" width="49.42578125" customWidth="1"/>
  </cols>
  <sheetData>
    <row r="1" spans="1:9" s="119" customFormat="1" ht="17.25" customHeight="1">
      <c r="A1" s="118"/>
      <c r="D1" s="1105" t="s">
        <v>552</v>
      </c>
      <c r="E1" s="1105"/>
      <c r="F1" s="1105"/>
      <c r="G1" s="1105"/>
      <c r="H1" s="1105"/>
      <c r="I1" s="749"/>
    </row>
    <row r="2" spans="1:9" s="119" customFormat="1" ht="17.25" customHeight="1">
      <c r="A2" s="120"/>
      <c r="B2" s="120"/>
      <c r="C2" s="120"/>
      <c r="D2" s="1106" t="s">
        <v>553</v>
      </c>
      <c r="E2" s="1106"/>
      <c r="F2" s="1106"/>
      <c r="G2" s="1106"/>
      <c r="H2" s="1106"/>
      <c r="I2" s="749"/>
    </row>
    <row r="3" spans="1:9" s="119" customFormat="1" ht="12" customHeight="1">
      <c r="A3" s="121"/>
      <c r="B3" s="121"/>
      <c r="C3" s="121"/>
      <c r="D3" s="1107" t="s">
        <v>554</v>
      </c>
      <c r="E3" s="1107"/>
      <c r="F3" s="1107"/>
      <c r="G3" s="1107"/>
      <c r="H3" s="1107"/>
      <c r="I3" s="749"/>
    </row>
    <row r="4" spans="1:9" s="119" customFormat="1" ht="17.25" customHeight="1">
      <c r="D4" s="1108"/>
      <c r="E4" s="1108"/>
      <c r="F4" s="1108" t="str">
        <f ca="1">сВДЛ!F4</f>
        <v>М.В. Златова</v>
      </c>
      <c r="G4" s="1108"/>
      <c r="H4" s="1108"/>
      <c r="I4" s="749"/>
    </row>
    <row r="5" spans="1:9" s="119" customFormat="1" ht="10.5" customHeight="1">
      <c r="A5" s="122"/>
      <c r="D5" s="1107" t="s">
        <v>555</v>
      </c>
      <c r="E5" s="1107"/>
      <c r="F5" s="1107" t="s">
        <v>556</v>
      </c>
      <c r="G5" s="1107"/>
      <c r="H5" s="1107"/>
      <c r="I5" s="749"/>
    </row>
    <row r="6" spans="1:9" s="119" customFormat="1" ht="15" customHeight="1">
      <c r="A6" s="1113" t="s">
        <v>557</v>
      </c>
      <c r="B6" s="1113"/>
      <c r="C6" s="1113"/>
      <c r="D6" s="1113"/>
      <c r="E6" s="1113"/>
      <c r="F6" s="1113"/>
      <c r="G6" s="1113"/>
      <c r="H6" s="1113"/>
      <c r="I6" s="695"/>
    </row>
    <row r="7" spans="1:9" s="119" customFormat="1" ht="15" customHeight="1">
      <c r="A7" s="1113" t="str">
        <f ca="1">'СВОД смет'!A7:H7</f>
        <v>на 2021 год</v>
      </c>
      <c r="B7" s="1113"/>
      <c r="C7" s="1113"/>
      <c r="D7" s="1113"/>
      <c r="E7" s="1113"/>
      <c r="F7" s="1113"/>
      <c r="G7" s="1113"/>
      <c r="H7" s="1113"/>
      <c r="I7" s="695"/>
    </row>
    <row r="8" spans="1:9" s="119" customFormat="1" ht="13.5" customHeight="1">
      <c r="A8" s="123"/>
      <c r="B8" s="123"/>
      <c r="C8" s="123"/>
      <c r="D8" s="123"/>
      <c r="E8" s="1114"/>
      <c r="F8" s="1115"/>
      <c r="G8" s="1116" t="s">
        <v>558</v>
      </c>
      <c r="H8" s="1117"/>
      <c r="I8" s="696"/>
    </row>
    <row r="9" spans="1:9" s="119" customFormat="1" ht="13.5" customHeight="1">
      <c r="A9" s="1109" t="s">
        <v>559</v>
      </c>
      <c r="B9" s="1109"/>
      <c r="C9" s="1109"/>
      <c r="D9" s="1110"/>
      <c r="E9" s="1111" t="s">
        <v>560</v>
      </c>
      <c r="F9" s="1111"/>
      <c r="G9" s="1112">
        <v>4109076</v>
      </c>
      <c r="H9" s="1112"/>
      <c r="I9" s="697"/>
    </row>
    <row r="10" spans="1:9" s="119" customFormat="1" ht="13.5" customHeight="1">
      <c r="A10" s="1123" t="s">
        <v>561</v>
      </c>
      <c r="B10" s="1123"/>
      <c r="C10" s="1123"/>
      <c r="D10" s="1124"/>
      <c r="E10" s="1111" t="s">
        <v>562</v>
      </c>
      <c r="F10" s="1111"/>
      <c r="G10" s="1112"/>
      <c r="H10" s="1112"/>
      <c r="I10" s="697"/>
    </row>
    <row r="11" spans="1:9" s="119" customFormat="1" ht="13.5" customHeight="1">
      <c r="A11" s="134" t="s">
        <v>563</v>
      </c>
      <c r="B11" s="124"/>
      <c r="C11" s="124"/>
      <c r="D11" s="124"/>
      <c r="E11" s="1111" t="s">
        <v>564</v>
      </c>
      <c r="F11" s="1111"/>
      <c r="G11" s="1112">
        <v>384</v>
      </c>
      <c r="H11" s="1112"/>
      <c r="I11" s="698"/>
    </row>
    <row r="12" spans="1:9" s="1" customFormat="1" ht="31.5" customHeight="1">
      <c r="A12" s="1126" t="s">
        <v>413</v>
      </c>
      <c r="B12" s="1126"/>
      <c r="C12" s="1126"/>
      <c r="D12" s="1126"/>
      <c r="E12" s="1126"/>
      <c r="F12" s="1126"/>
      <c r="G12" s="1126"/>
      <c r="H12" s="1126"/>
      <c r="I12" s="750"/>
    </row>
    <row r="13" spans="1:9" s="1" customFormat="1" ht="6" customHeight="1">
      <c r="E13" s="125"/>
      <c r="F13" s="125"/>
      <c r="G13" s="125"/>
      <c r="H13" s="125"/>
      <c r="I13" s="750"/>
    </row>
    <row r="14" spans="1:9" s="1" customFormat="1">
      <c r="A14" s="1118" t="s">
        <v>565</v>
      </c>
      <c r="B14" s="1119" t="s">
        <v>566</v>
      </c>
      <c r="C14" s="1120"/>
      <c r="D14" s="1120"/>
      <c r="E14" s="1120"/>
      <c r="F14" s="1120"/>
      <c r="G14" s="1121"/>
      <c r="H14" s="1122" t="s">
        <v>873</v>
      </c>
      <c r="I14" s="750"/>
    </row>
    <row r="15" spans="1:9" ht="46.5" customHeight="1">
      <c r="A15" s="1118"/>
      <c r="B15" s="135" t="s">
        <v>351</v>
      </c>
      <c r="C15" s="135" t="s">
        <v>352</v>
      </c>
      <c r="D15" s="136" t="s">
        <v>353</v>
      </c>
      <c r="E15" s="135" t="s">
        <v>567</v>
      </c>
      <c r="F15" s="136" t="s">
        <v>568</v>
      </c>
      <c r="G15" s="136" t="s">
        <v>569</v>
      </c>
      <c r="H15" s="1122"/>
      <c r="I15" s="751"/>
    </row>
    <row r="16" spans="1:9">
      <c r="A16" s="512" t="s">
        <v>852</v>
      </c>
      <c r="B16" s="529" t="s">
        <v>368</v>
      </c>
      <c r="C16" s="529" t="s">
        <v>414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106.1</v>
      </c>
    </row>
    <row r="17" spans="1:8">
      <c r="A17" s="513" t="s">
        <v>853</v>
      </c>
      <c r="B17" s="525"/>
      <c r="C17" s="525"/>
      <c r="D17" s="525"/>
      <c r="E17" s="525"/>
      <c r="F17" s="506">
        <v>210</v>
      </c>
      <c r="G17" s="506"/>
      <c r="H17" s="526">
        <f>H18+H19+H21+H22</f>
        <v>0</v>
      </c>
    </row>
    <row r="18" spans="1:8">
      <c r="A18" s="514" t="s">
        <v>571</v>
      </c>
      <c r="B18" s="128"/>
      <c r="C18" s="128"/>
      <c r="D18" s="128"/>
      <c r="E18" s="465"/>
      <c r="F18" s="507">
        <v>211</v>
      </c>
      <c r="G18" s="507"/>
      <c r="H18" s="137"/>
    </row>
    <row r="19" spans="1:8">
      <c r="A19" s="514" t="s">
        <v>854</v>
      </c>
      <c r="B19" s="128"/>
      <c r="C19" s="128"/>
      <c r="D19" s="128"/>
      <c r="E19" s="464"/>
      <c r="F19" s="507">
        <v>212</v>
      </c>
      <c r="G19" s="507"/>
      <c r="H19" s="137">
        <f>H20</f>
        <v>0</v>
      </c>
    </row>
    <row r="20" spans="1:8">
      <c r="A20" s="515" t="s">
        <v>572</v>
      </c>
      <c r="B20" s="126"/>
      <c r="C20" s="126"/>
      <c r="D20" s="126"/>
      <c r="E20" s="463"/>
      <c r="F20" s="508">
        <v>212</v>
      </c>
      <c r="G20" s="508">
        <v>610</v>
      </c>
      <c r="H20" s="129"/>
    </row>
    <row r="21" spans="1:8">
      <c r="A21" s="514" t="s">
        <v>855</v>
      </c>
      <c r="B21" s="128"/>
      <c r="C21" s="128"/>
      <c r="D21" s="128"/>
      <c r="E21" s="465"/>
      <c r="F21" s="507">
        <v>213</v>
      </c>
      <c r="G21" s="507"/>
      <c r="H21" s="137"/>
    </row>
    <row r="22" spans="1:8" ht="24">
      <c r="A22" s="514" t="s">
        <v>856</v>
      </c>
      <c r="B22" s="128"/>
      <c r="C22" s="128"/>
      <c r="D22" s="128"/>
      <c r="E22" s="464"/>
      <c r="F22" s="507">
        <v>214</v>
      </c>
      <c r="G22" s="507"/>
      <c r="H22" s="137">
        <f>H23</f>
        <v>0</v>
      </c>
    </row>
    <row r="23" spans="1:8">
      <c r="A23" s="515" t="s">
        <v>646</v>
      </c>
      <c r="B23" s="126"/>
      <c r="C23" s="126"/>
      <c r="D23" s="126"/>
      <c r="E23" s="463"/>
      <c r="F23" s="508">
        <v>214</v>
      </c>
      <c r="G23" s="508">
        <v>831</v>
      </c>
      <c r="H23" s="129"/>
    </row>
    <row r="24" spans="1:8">
      <c r="A24" s="513" t="s">
        <v>857</v>
      </c>
      <c r="B24" s="525" t="s">
        <v>368</v>
      </c>
      <c r="C24" s="525" t="s">
        <v>414</v>
      </c>
      <c r="D24" s="525" t="s">
        <v>708</v>
      </c>
      <c r="E24" s="525" t="s">
        <v>375</v>
      </c>
      <c r="F24" s="506">
        <v>220</v>
      </c>
      <c r="G24" s="506"/>
      <c r="H24" s="526">
        <f>H25+H26+H28+H32+H36</f>
        <v>106.1</v>
      </c>
    </row>
    <row r="25" spans="1:8">
      <c r="A25" s="514" t="s">
        <v>576</v>
      </c>
      <c r="B25" s="128"/>
      <c r="C25" s="128"/>
      <c r="D25" s="128"/>
      <c r="E25" s="128"/>
      <c r="F25" s="507">
        <v>221</v>
      </c>
      <c r="G25" s="507"/>
      <c r="H25" s="137"/>
    </row>
    <row r="26" spans="1:8">
      <c r="A26" s="514" t="s">
        <v>858</v>
      </c>
      <c r="B26" s="128"/>
      <c r="C26" s="128"/>
      <c r="D26" s="128"/>
      <c r="E26" s="128"/>
      <c r="F26" s="507">
        <v>222</v>
      </c>
      <c r="G26" s="507"/>
      <c r="H26" s="137">
        <f>H27</f>
        <v>0</v>
      </c>
    </row>
    <row r="27" spans="1:8">
      <c r="A27" s="515" t="s">
        <v>577</v>
      </c>
      <c r="B27" s="126"/>
      <c r="C27" s="126"/>
      <c r="D27" s="126"/>
      <c r="E27" s="126"/>
      <c r="F27" s="508">
        <v>222</v>
      </c>
      <c r="G27" s="508">
        <v>500</v>
      </c>
      <c r="H27" s="129"/>
    </row>
    <row r="28" spans="1:8">
      <c r="A28" s="514" t="s">
        <v>578</v>
      </c>
      <c r="B28" s="128"/>
      <c r="C28" s="128"/>
      <c r="D28" s="128"/>
      <c r="E28" s="128"/>
      <c r="F28" s="507">
        <v>223</v>
      </c>
      <c r="G28" s="507"/>
      <c r="H28" s="137">
        <f>SUM(H29:H31)</f>
        <v>0</v>
      </c>
    </row>
    <row r="29" spans="1:8">
      <c r="A29" s="515" t="s">
        <v>579</v>
      </c>
      <c r="B29" s="126"/>
      <c r="C29" s="126"/>
      <c r="D29" s="126"/>
      <c r="E29" s="126"/>
      <c r="F29" s="508">
        <v>223</v>
      </c>
      <c r="G29" s="508">
        <v>721</v>
      </c>
      <c r="H29" s="129"/>
    </row>
    <row r="30" spans="1:8">
      <c r="A30" s="515" t="s">
        <v>580</v>
      </c>
      <c r="B30" s="126"/>
      <c r="C30" s="126"/>
      <c r="D30" s="126"/>
      <c r="E30" s="126"/>
      <c r="F30" s="508">
        <v>223</v>
      </c>
      <c r="G30" s="508">
        <v>730</v>
      </c>
      <c r="H30" s="129"/>
    </row>
    <row r="31" spans="1:8">
      <c r="A31" s="515" t="s">
        <v>581</v>
      </c>
      <c r="B31" s="126"/>
      <c r="C31" s="126"/>
      <c r="D31" s="126"/>
      <c r="E31" s="126"/>
      <c r="F31" s="508">
        <v>223</v>
      </c>
      <c r="G31" s="508">
        <v>740</v>
      </c>
      <c r="H31" s="129"/>
    </row>
    <row r="32" spans="1:8">
      <c r="A32" s="514" t="s">
        <v>859</v>
      </c>
      <c r="B32" s="128"/>
      <c r="C32" s="128"/>
      <c r="D32" s="128"/>
      <c r="E32" s="128"/>
      <c r="F32" s="507">
        <v>225</v>
      </c>
      <c r="G32" s="507"/>
      <c r="H32" s="137">
        <f>SUM(H33:H35)</f>
        <v>0</v>
      </c>
    </row>
    <row r="33" spans="1:9">
      <c r="A33" s="437" t="s">
        <v>416</v>
      </c>
      <c r="B33" s="126"/>
      <c r="C33" s="126"/>
      <c r="D33" s="126"/>
      <c r="E33" s="126"/>
      <c r="F33" s="509">
        <v>225</v>
      </c>
      <c r="G33" s="509" t="s">
        <v>582</v>
      </c>
      <c r="H33" s="129"/>
    </row>
    <row r="34" spans="1:9" ht="24">
      <c r="A34" s="515" t="s">
        <v>860</v>
      </c>
      <c r="B34" s="126"/>
      <c r="C34" s="126"/>
      <c r="D34" s="126"/>
      <c r="E34" s="126"/>
      <c r="F34" s="508">
        <v>225</v>
      </c>
      <c r="G34" s="508" t="s">
        <v>583</v>
      </c>
      <c r="H34" s="129"/>
      <c r="I34" s="752"/>
    </row>
    <row r="35" spans="1:9">
      <c r="A35" s="515" t="s">
        <v>861</v>
      </c>
      <c r="B35" s="128"/>
      <c r="C35" s="128"/>
      <c r="D35" s="128"/>
      <c r="E35" s="128"/>
      <c r="F35" s="508">
        <v>225</v>
      </c>
      <c r="G35" s="508" t="s">
        <v>872</v>
      </c>
      <c r="H35" s="129"/>
    </row>
    <row r="36" spans="1:9">
      <c r="A36" s="514" t="s">
        <v>785</v>
      </c>
      <c r="B36" s="128" t="s">
        <v>368</v>
      </c>
      <c r="C36" s="128" t="s">
        <v>414</v>
      </c>
      <c r="D36" s="128" t="s">
        <v>200</v>
      </c>
      <c r="E36" s="128" t="s">
        <v>640</v>
      </c>
      <c r="F36" s="507" t="s">
        <v>575</v>
      </c>
      <c r="G36" s="507"/>
      <c r="H36" s="137">
        <f>SUM(H37:H43)</f>
        <v>106.1</v>
      </c>
    </row>
    <row r="37" spans="1:9">
      <c r="A37" s="515" t="s">
        <v>584</v>
      </c>
      <c r="B37" s="126"/>
      <c r="C37" s="126"/>
      <c r="D37" s="126"/>
      <c r="E37" s="126"/>
      <c r="F37" s="508">
        <v>226</v>
      </c>
      <c r="G37" s="508" t="s">
        <v>585</v>
      </c>
      <c r="H37" s="129"/>
      <c r="I37" s="753"/>
    </row>
    <row r="38" spans="1:9">
      <c r="A38" s="515" t="s">
        <v>586</v>
      </c>
      <c r="B38" s="126" t="s">
        <v>368</v>
      </c>
      <c r="C38" s="126" t="s">
        <v>414</v>
      </c>
      <c r="D38" s="126" t="s">
        <v>200</v>
      </c>
      <c r="E38" s="126" t="s">
        <v>640</v>
      </c>
      <c r="F38" s="508">
        <v>226</v>
      </c>
      <c r="G38" s="508" t="s">
        <v>587</v>
      </c>
      <c r="H38" s="129">
        <f ca="1">рГОиЧС!H9</f>
        <v>106.1</v>
      </c>
    </row>
    <row r="39" spans="1:9" ht="24">
      <c r="A39" s="515" t="s">
        <v>862</v>
      </c>
      <c r="B39" s="126"/>
      <c r="C39" s="126"/>
      <c r="D39" s="126"/>
      <c r="E39" s="126"/>
      <c r="F39" s="508">
        <v>226</v>
      </c>
      <c r="G39" s="508" t="s">
        <v>588</v>
      </c>
      <c r="H39" s="129"/>
    </row>
    <row r="40" spans="1:9">
      <c r="A40" s="515" t="s">
        <v>573</v>
      </c>
      <c r="B40" s="126"/>
      <c r="C40" s="126"/>
      <c r="D40" s="126"/>
      <c r="E40" s="463"/>
      <c r="F40" s="508">
        <v>226</v>
      </c>
      <c r="G40" s="508">
        <v>620</v>
      </c>
      <c r="H40" s="129"/>
    </row>
    <row r="41" spans="1:9">
      <c r="A41" s="515" t="s">
        <v>574</v>
      </c>
      <c r="B41" s="126"/>
      <c r="C41" s="126"/>
      <c r="D41" s="126"/>
      <c r="E41" s="463"/>
      <c r="F41" s="508">
        <v>226</v>
      </c>
      <c r="G41" s="508">
        <v>630</v>
      </c>
      <c r="H41" s="129"/>
    </row>
    <row r="42" spans="1:9">
      <c r="A42" s="515" t="s">
        <v>908</v>
      </c>
      <c r="B42" s="126"/>
      <c r="C42" s="126"/>
      <c r="D42" s="126"/>
      <c r="E42" s="126"/>
      <c r="F42" s="508">
        <v>226</v>
      </c>
      <c r="G42" s="508">
        <v>843</v>
      </c>
      <c r="H42" s="129"/>
    </row>
    <row r="43" spans="1:9">
      <c r="A43" s="437" t="s">
        <v>596</v>
      </c>
      <c r="B43" s="138"/>
      <c r="C43" s="138"/>
      <c r="D43" s="138"/>
      <c r="E43" s="138"/>
      <c r="F43" s="509">
        <v>226</v>
      </c>
      <c r="G43" s="509">
        <v>845</v>
      </c>
      <c r="H43" s="520"/>
    </row>
    <row r="44" spans="1:9" ht="25.5">
      <c r="A44" s="527" t="s">
        <v>848</v>
      </c>
      <c r="B44" s="522"/>
      <c r="C44" s="522"/>
      <c r="D44" s="522"/>
      <c r="E44" s="522"/>
      <c r="F44" s="506">
        <v>240</v>
      </c>
      <c r="G44" s="506"/>
      <c r="H44" s="523">
        <f>H45</f>
        <v>0</v>
      </c>
    </row>
    <row r="45" spans="1:9" ht="24">
      <c r="A45" s="127" t="s">
        <v>851</v>
      </c>
      <c r="B45" s="138"/>
      <c r="C45" s="138"/>
      <c r="D45" s="138"/>
      <c r="E45" s="138"/>
      <c r="F45" s="511">
        <v>244</v>
      </c>
      <c r="G45" s="511"/>
      <c r="H45" s="521"/>
    </row>
    <row r="46" spans="1:9">
      <c r="A46" s="513" t="s">
        <v>863</v>
      </c>
      <c r="B46" s="522"/>
      <c r="C46" s="522"/>
      <c r="D46" s="522"/>
      <c r="E46" s="522"/>
      <c r="F46" s="506" t="s">
        <v>589</v>
      </c>
      <c r="G46" s="506"/>
      <c r="H46" s="523">
        <f>H47</f>
        <v>0</v>
      </c>
      <c r="I46" s="752"/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522"/>
      <c r="C48" s="522"/>
      <c r="D48" s="522"/>
      <c r="E48" s="464"/>
      <c r="F48" s="506" t="s">
        <v>591</v>
      </c>
      <c r="G48" s="506"/>
      <c r="H48" s="523">
        <f>H49+H51</f>
        <v>0</v>
      </c>
    </row>
    <row r="49" spans="1:8" ht="24">
      <c r="A49" s="514" t="s">
        <v>866</v>
      </c>
      <c r="B49" s="138"/>
      <c r="C49" s="138"/>
      <c r="D49" s="138"/>
      <c r="E49" s="138"/>
      <c r="F49" s="507">
        <v>264</v>
      </c>
      <c r="G49" s="507"/>
      <c r="H49" s="521">
        <f>H50</f>
        <v>0</v>
      </c>
    </row>
    <row r="50" spans="1:8">
      <c r="A50" s="515" t="s">
        <v>592</v>
      </c>
      <c r="B50" s="128"/>
      <c r="C50" s="128"/>
      <c r="D50" s="128"/>
      <c r="E50" s="128"/>
      <c r="F50" s="508">
        <v>264</v>
      </c>
      <c r="G50" s="508" t="s">
        <v>593</v>
      </c>
      <c r="H50" s="129"/>
    </row>
    <row r="51" spans="1:8" ht="24">
      <c r="A51" s="514" t="s">
        <v>607</v>
      </c>
      <c r="B51" s="128"/>
      <c r="C51" s="128"/>
      <c r="D51" s="128"/>
      <c r="E51" s="464"/>
      <c r="F51" s="507">
        <v>266</v>
      </c>
      <c r="G51" s="507"/>
      <c r="H51" s="137"/>
    </row>
    <row r="52" spans="1:8">
      <c r="A52" s="513" t="s">
        <v>594</v>
      </c>
      <c r="B52" s="522"/>
      <c r="C52" s="522"/>
      <c r="D52" s="522"/>
      <c r="E52" s="522"/>
      <c r="F52" s="506" t="s">
        <v>595</v>
      </c>
      <c r="G52" s="506"/>
      <c r="H52" s="523">
        <f>SUM(H53:H58)</f>
        <v>0</v>
      </c>
    </row>
    <row r="53" spans="1:8">
      <c r="A53" s="516" t="s">
        <v>604</v>
      </c>
      <c r="B53" s="261"/>
      <c r="C53" s="261"/>
      <c r="D53" s="261"/>
      <c r="E53" s="261"/>
      <c r="F53" s="510">
        <v>291</v>
      </c>
      <c r="G53" s="510"/>
      <c r="H53" s="521"/>
    </row>
    <row r="54" spans="1:8">
      <c r="A54" s="516" t="s">
        <v>605</v>
      </c>
      <c r="B54" s="533"/>
      <c r="C54" s="533"/>
      <c r="D54" s="533"/>
      <c r="E54" s="533"/>
      <c r="F54" s="510">
        <v>292</v>
      </c>
      <c r="G54" s="510"/>
      <c r="H54" s="137"/>
    </row>
    <row r="55" spans="1:8">
      <c r="A55" s="516" t="s">
        <v>606</v>
      </c>
      <c r="B55" s="533"/>
      <c r="C55" s="533"/>
      <c r="D55" s="533"/>
      <c r="E55" s="533"/>
      <c r="F55" s="510">
        <v>293</v>
      </c>
      <c r="G55" s="510"/>
      <c r="H55" s="137"/>
    </row>
    <row r="56" spans="1:8">
      <c r="A56" s="516" t="s">
        <v>877</v>
      </c>
      <c r="B56" s="128"/>
      <c r="C56" s="128"/>
      <c r="D56" s="128"/>
      <c r="E56" s="128"/>
      <c r="F56" s="510">
        <v>295</v>
      </c>
      <c r="G56" s="510"/>
      <c r="H56" s="137"/>
    </row>
    <row r="57" spans="1:8">
      <c r="A57" s="516" t="s">
        <v>867</v>
      </c>
      <c r="B57" s="533"/>
      <c r="C57" s="533"/>
      <c r="D57" s="533"/>
      <c r="E57" s="533"/>
      <c r="F57" s="510">
        <v>296</v>
      </c>
      <c r="G57" s="510"/>
      <c r="H57" s="137"/>
    </row>
    <row r="58" spans="1:8">
      <c r="A58" s="516" t="s">
        <v>877</v>
      </c>
      <c r="B58" s="128"/>
      <c r="C58" s="128"/>
      <c r="D58" s="128"/>
      <c r="E58" s="128"/>
      <c r="F58" s="510">
        <v>297</v>
      </c>
      <c r="G58" s="510"/>
      <c r="H58" s="137"/>
    </row>
    <row r="59" spans="1:8">
      <c r="A59" s="513" t="s">
        <v>868</v>
      </c>
      <c r="B59" s="522"/>
      <c r="C59" s="522"/>
      <c r="D59" s="522"/>
      <c r="E59" s="522"/>
      <c r="F59" s="506" t="s">
        <v>436</v>
      </c>
      <c r="G59" s="506"/>
      <c r="H59" s="523">
        <f>H60+H62+H63+H64</f>
        <v>0</v>
      </c>
    </row>
    <row r="60" spans="1:8">
      <c r="A60" s="514" t="s">
        <v>597</v>
      </c>
      <c r="B60" s="261"/>
      <c r="C60" s="261"/>
      <c r="D60" s="261"/>
      <c r="E60" s="261"/>
      <c r="F60" s="511" t="s">
        <v>598</v>
      </c>
      <c r="G60" s="511"/>
      <c r="H60" s="521">
        <f>H61</f>
        <v>0</v>
      </c>
    </row>
    <row r="61" spans="1:8">
      <c r="A61" s="515" t="s">
        <v>599</v>
      </c>
      <c r="B61" s="126"/>
      <c r="C61" s="126"/>
      <c r="D61" s="126"/>
      <c r="E61" s="126"/>
      <c r="F61" s="508">
        <v>310</v>
      </c>
      <c r="G61" s="508" t="s">
        <v>600</v>
      </c>
      <c r="H61" s="129"/>
    </row>
    <row r="62" spans="1:8">
      <c r="A62" s="517" t="s">
        <v>869</v>
      </c>
      <c r="B62" s="128"/>
      <c r="C62" s="128"/>
      <c r="D62" s="128"/>
      <c r="E62" s="128"/>
      <c r="F62" s="511">
        <v>343</v>
      </c>
      <c r="G62" s="511"/>
      <c r="H62" s="137"/>
    </row>
    <row r="63" spans="1:8" ht="24">
      <c r="A63" s="517" t="s">
        <v>870</v>
      </c>
      <c r="B63" s="128"/>
      <c r="C63" s="128"/>
      <c r="D63" s="128"/>
      <c r="E63" s="128"/>
      <c r="F63" s="511">
        <v>346</v>
      </c>
      <c r="G63" s="511"/>
      <c r="H63" s="137"/>
    </row>
    <row r="64" spans="1:8" ht="24">
      <c r="A64" s="517" t="s">
        <v>871</v>
      </c>
      <c r="B64" s="128"/>
      <c r="C64" s="128"/>
      <c r="D64" s="128"/>
      <c r="E64" s="128"/>
      <c r="F64" s="511">
        <v>349</v>
      </c>
      <c r="G64" s="511"/>
      <c r="H64" s="137"/>
    </row>
    <row r="65" spans="1:9">
      <c r="A65" s="517" t="s">
        <v>710</v>
      </c>
      <c r="B65" s="128" t="s">
        <v>368</v>
      </c>
      <c r="C65" s="128" t="s">
        <v>414</v>
      </c>
      <c r="D65" s="128" t="s">
        <v>200</v>
      </c>
      <c r="E65" s="128" t="s">
        <v>375</v>
      </c>
      <c r="F65" s="511"/>
      <c r="G65" s="511"/>
      <c r="H65" s="137">
        <f>H36</f>
        <v>106.1</v>
      </c>
    </row>
    <row r="66" spans="1:9">
      <c r="A66" s="519" t="s">
        <v>602</v>
      </c>
      <c r="B66" s="128" t="s">
        <v>368</v>
      </c>
      <c r="C66" s="128" t="s">
        <v>414</v>
      </c>
      <c r="D66" s="128" t="s">
        <v>708</v>
      </c>
      <c r="E66" s="128" t="s">
        <v>570</v>
      </c>
      <c r="F66" s="518"/>
      <c r="G66" s="518"/>
      <c r="H66" s="137">
        <f>H59+H16</f>
        <v>106.1</v>
      </c>
      <c r="I66" s="549">
        <f>SUM(I16:I64)</f>
        <v>0</v>
      </c>
    </row>
    <row r="67" spans="1:9">
      <c r="A67" s="130"/>
      <c r="B67" s="131"/>
      <c r="C67" s="131"/>
      <c r="D67" s="131"/>
      <c r="E67" s="131"/>
      <c r="F67" s="131"/>
      <c r="G67" s="131"/>
      <c r="H67" s="132"/>
    </row>
    <row r="68" spans="1:9">
      <c r="I68" s="752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8"/>
  <sheetViews>
    <sheetView showZeros="0" topLeftCell="A37" workbookViewId="0">
      <selection activeCell="K20" sqref="K20"/>
    </sheetView>
  </sheetViews>
  <sheetFormatPr defaultColWidth="3.5703125" defaultRowHeight="15"/>
  <cols>
    <col min="1" max="1" width="49.42578125" customWidth="1"/>
    <col min="2" max="3" width="3.5703125" customWidth="1"/>
    <col min="4" max="4" width="11.42578125" customWidth="1"/>
    <col min="5" max="7" width="5.7109375" customWidth="1"/>
    <col min="8" max="8" width="9" customWidth="1"/>
    <col min="9" max="9" width="18.7109375" style="549" customWidth="1"/>
    <col min="10" max="253" width="9.140625" customWidth="1"/>
    <col min="254" max="254" width="49.42578125" customWidth="1"/>
  </cols>
  <sheetData>
    <row r="1" spans="1:9" s="119" customFormat="1" ht="17.25" customHeight="1">
      <c r="A1" s="118"/>
      <c r="D1" s="1105" t="s">
        <v>552</v>
      </c>
      <c r="E1" s="1105"/>
      <c r="F1" s="1105"/>
      <c r="G1" s="1105"/>
      <c r="H1" s="1105"/>
      <c r="I1" s="749"/>
    </row>
    <row r="2" spans="1:9" s="119" customFormat="1" ht="17.25" customHeight="1">
      <c r="A2" s="120"/>
      <c r="B2" s="120"/>
      <c r="C2" s="120"/>
      <c r="D2" s="1106" t="s">
        <v>553</v>
      </c>
      <c r="E2" s="1106"/>
      <c r="F2" s="1106"/>
      <c r="G2" s="1106"/>
      <c r="H2" s="1106"/>
      <c r="I2" s="749"/>
    </row>
    <row r="3" spans="1:9" s="119" customFormat="1" ht="12" customHeight="1">
      <c r="A3" s="121"/>
      <c r="B3" s="121"/>
      <c r="C3" s="121"/>
      <c r="D3" s="1107" t="s">
        <v>554</v>
      </c>
      <c r="E3" s="1107"/>
      <c r="F3" s="1107"/>
      <c r="G3" s="1107"/>
      <c r="H3" s="1107"/>
      <c r="I3" s="749"/>
    </row>
    <row r="4" spans="1:9" s="119" customFormat="1" ht="17.25" customHeight="1">
      <c r="D4" s="1108"/>
      <c r="E4" s="1108"/>
      <c r="F4" s="1108" t="str">
        <f ca="1">сВДЛ!F4</f>
        <v>М.В. Златова</v>
      </c>
      <c r="G4" s="1108"/>
      <c r="H4" s="1108"/>
      <c r="I4" s="749"/>
    </row>
    <row r="5" spans="1:9" s="119" customFormat="1" ht="10.5" customHeight="1">
      <c r="A5" s="122"/>
      <c r="D5" s="1107" t="s">
        <v>555</v>
      </c>
      <c r="E5" s="1107"/>
      <c r="F5" s="1107" t="s">
        <v>556</v>
      </c>
      <c r="G5" s="1107"/>
      <c r="H5" s="1107"/>
      <c r="I5" s="749"/>
    </row>
    <row r="6" spans="1:9" s="119" customFormat="1" ht="15" customHeight="1">
      <c r="A6" s="1113" t="s">
        <v>557</v>
      </c>
      <c r="B6" s="1113"/>
      <c r="C6" s="1113"/>
      <c r="D6" s="1113"/>
      <c r="E6" s="1113"/>
      <c r="F6" s="1113"/>
      <c r="G6" s="1113"/>
      <c r="H6" s="1113"/>
      <c r="I6" s="695"/>
    </row>
    <row r="7" spans="1:9" s="119" customFormat="1" ht="15" customHeight="1">
      <c r="A7" s="1113" t="str">
        <f ca="1">'СВОД смет'!A7:H7</f>
        <v>на 2021 год</v>
      </c>
      <c r="B7" s="1113"/>
      <c r="C7" s="1113"/>
      <c r="D7" s="1113"/>
      <c r="E7" s="1113"/>
      <c r="F7" s="1113"/>
      <c r="G7" s="1113"/>
      <c r="H7" s="1113"/>
      <c r="I7" s="695"/>
    </row>
    <row r="8" spans="1:9" s="119" customFormat="1" ht="13.5" customHeight="1">
      <c r="A8" s="123"/>
      <c r="B8" s="123"/>
      <c r="C8" s="123"/>
      <c r="D8" s="123"/>
      <c r="E8" s="1114"/>
      <c r="F8" s="1115"/>
      <c r="G8" s="1116" t="s">
        <v>558</v>
      </c>
      <c r="H8" s="1117"/>
      <c r="I8" s="696"/>
    </row>
    <row r="9" spans="1:9" s="119" customFormat="1" ht="13.5" customHeight="1">
      <c r="A9" s="1109" t="s">
        <v>559</v>
      </c>
      <c r="B9" s="1109"/>
      <c r="C9" s="1109"/>
      <c r="D9" s="1110"/>
      <c r="E9" s="1111" t="s">
        <v>560</v>
      </c>
      <c r="F9" s="1111"/>
      <c r="G9" s="1112">
        <v>4109076</v>
      </c>
      <c r="H9" s="1112"/>
      <c r="I9" s="697"/>
    </row>
    <row r="10" spans="1:9" s="119" customFormat="1" ht="13.5" customHeight="1">
      <c r="A10" s="1123" t="s">
        <v>561</v>
      </c>
      <c r="B10" s="1123"/>
      <c r="C10" s="1123"/>
      <c r="D10" s="1124"/>
      <c r="E10" s="1111" t="s">
        <v>562</v>
      </c>
      <c r="F10" s="1111"/>
      <c r="G10" s="1112"/>
      <c r="H10" s="1112"/>
      <c r="I10" s="697"/>
    </row>
    <row r="11" spans="1:9" s="119" customFormat="1" ht="13.5" customHeight="1">
      <c r="A11" s="134" t="s">
        <v>563</v>
      </c>
      <c r="B11" s="124"/>
      <c r="C11" s="124"/>
      <c r="D11" s="124"/>
      <c r="E11" s="1111" t="s">
        <v>564</v>
      </c>
      <c r="F11" s="1111"/>
      <c r="G11" s="1112">
        <v>384</v>
      </c>
      <c r="H11" s="1112"/>
      <c r="I11" s="698"/>
    </row>
    <row r="12" spans="1:9" s="1" customFormat="1" ht="31.5" customHeight="1">
      <c r="A12" s="1126" t="s">
        <v>416</v>
      </c>
      <c r="B12" s="1126"/>
      <c r="C12" s="1126"/>
      <c r="D12" s="1126"/>
      <c r="E12" s="1126"/>
      <c r="F12" s="1126"/>
      <c r="G12" s="1126"/>
      <c r="H12" s="1126"/>
      <c r="I12" s="750"/>
    </row>
    <row r="13" spans="1:9" s="1" customFormat="1" ht="6" customHeight="1">
      <c r="E13" s="125"/>
      <c r="F13" s="125"/>
      <c r="G13" s="125"/>
      <c r="H13" s="125"/>
      <c r="I13" s="750"/>
    </row>
    <row r="14" spans="1:9" s="1" customFormat="1">
      <c r="A14" s="1118" t="s">
        <v>565</v>
      </c>
      <c r="B14" s="1119" t="s">
        <v>566</v>
      </c>
      <c r="C14" s="1120"/>
      <c r="D14" s="1120"/>
      <c r="E14" s="1120"/>
      <c r="F14" s="1120"/>
      <c r="G14" s="1121"/>
      <c r="H14" s="1122" t="s">
        <v>873</v>
      </c>
      <c r="I14" s="750"/>
    </row>
    <row r="15" spans="1:9" ht="46.5" customHeight="1">
      <c r="A15" s="1118"/>
      <c r="B15" s="135" t="s">
        <v>351</v>
      </c>
      <c r="C15" s="135" t="s">
        <v>352</v>
      </c>
      <c r="D15" s="136" t="s">
        <v>353</v>
      </c>
      <c r="E15" s="135" t="s">
        <v>567</v>
      </c>
      <c r="F15" s="136" t="s">
        <v>568</v>
      </c>
      <c r="G15" s="136" t="s">
        <v>569</v>
      </c>
      <c r="H15" s="1122"/>
      <c r="I15" s="751"/>
    </row>
    <row r="16" spans="1:9">
      <c r="A16" s="512" t="s">
        <v>852</v>
      </c>
      <c r="B16" s="529" t="s">
        <v>368</v>
      </c>
      <c r="C16" s="529" t="s">
        <v>417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113.8</v>
      </c>
    </row>
    <row r="17" spans="1:8">
      <c r="A17" s="513" t="s">
        <v>853</v>
      </c>
      <c r="B17" s="525"/>
      <c r="C17" s="525"/>
      <c r="D17" s="525"/>
      <c r="E17" s="525"/>
      <c r="F17" s="506">
        <v>210</v>
      </c>
      <c r="G17" s="506"/>
      <c r="H17" s="526">
        <f>H18+H19+H21+H22</f>
        <v>0</v>
      </c>
    </row>
    <row r="18" spans="1:8">
      <c r="A18" s="514" t="s">
        <v>571</v>
      </c>
      <c r="B18" s="128"/>
      <c r="C18" s="128"/>
      <c r="D18" s="128"/>
      <c r="E18" s="465"/>
      <c r="F18" s="507">
        <v>211</v>
      </c>
      <c r="G18" s="507"/>
      <c r="H18" s="137"/>
    </row>
    <row r="19" spans="1:8">
      <c r="A19" s="514" t="s">
        <v>854</v>
      </c>
      <c r="B19" s="128"/>
      <c r="C19" s="128"/>
      <c r="D19" s="128"/>
      <c r="E19" s="464"/>
      <c r="F19" s="507">
        <v>212</v>
      </c>
      <c r="G19" s="507"/>
      <c r="H19" s="137">
        <f>H20</f>
        <v>0</v>
      </c>
    </row>
    <row r="20" spans="1:8">
      <c r="A20" s="515" t="s">
        <v>572</v>
      </c>
      <c r="B20" s="126"/>
      <c r="C20" s="126"/>
      <c r="D20" s="126"/>
      <c r="E20" s="463"/>
      <c r="F20" s="508">
        <v>212</v>
      </c>
      <c r="G20" s="508">
        <v>610</v>
      </c>
      <c r="H20" s="129"/>
    </row>
    <row r="21" spans="1:8">
      <c r="A21" s="514" t="s">
        <v>855</v>
      </c>
      <c r="B21" s="128"/>
      <c r="C21" s="128"/>
      <c r="D21" s="128"/>
      <c r="E21" s="465"/>
      <c r="F21" s="507">
        <v>213</v>
      </c>
      <c r="G21" s="507"/>
      <c r="H21" s="137"/>
    </row>
    <row r="22" spans="1:8" ht="24">
      <c r="A22" s="514" t="s">
        <v>856</v>
      </c>
      <c r="B22" s="128"/>
      <c r="C22" s="128"/>
      <c r="D22" s="128"/>
      <c r="E22" s="464"/>
      <c r="F22" s="507">
        <v>214</v>
      </c>
      <c r="G22" s="507"/>
      <c r="H22" s="137">
        <f>H23</f>
        <v>0</v>
      </c>
    </row>
    <row r="23" spans="1:8">
      <c r="A23" s="515" t="s">
        <v>646</v>
      </c>
      <c r="B23" s="126"/>
      <c r="C23" s="126"/>
      <c r="D23" s="126"/>
      <c r="E23" s="463"/>
      <c r="F23" s="508">
        <v>214</v>
      </c>
      <c r="G23" s="508">
        <v>831</v>
      </c>
      <c r="H23" s="129"/>
    </row>
    <row r="24" spans="1:8">
      <c r="A24" s="513" t="s">
        <v>857</v>
      </c>
      <c r="B24" s="525" t="s">
        <v>368</v>
      </c>
      <c r="C24" s="525" t="s">
        <v>417</v>
      </c>
      <c r="D24" s="525" t="s">
        <v>708</v>
      </c>
      <c r="E24" s="525" t="s">
        <v>375</v>
      </c>
      <c r="F24" s="506">
        <v>220</v>
      </c>
      <c r="G24" s="506"/>
      <c r="H24" s="526">
        <f>H25+H26+H28+H32+H36</f>
        <v>113.8</v>
      </c>
    </row>
    <row r="25" spans="1:8">
      <c r="A25" s="514" t="s">
        <v>576</v>
      </c>
      <c r="B25" s="128"/>
      <c r="C25" s="128"/>
      <c r="D25" s="128"/>
      <c r="E25" s="128"/>
      <c r="F25" s="507">
        <v>221</v>
      </c>
      <c r="G25" s="507"/>
      <c r="H25" s="137"/>
    </row>
    <row r="26" spans="1:8">
      <c r="A26" s="514" t="s">
        <v>858</v>
      </c>
      <c r="B26" s="128"/>
      <c r="C26" s="128"/>
      <c r="D26" s="128"/>
      <c r="E26" s="128"/>
      <c r="F26" s="507">
        <v>222</v>
      </c>
      <c r="G26" s="507"/>
      <c r="H26" s="137">
        <f>H27</f>
        <v>0</v>
      </c>
    </row>
    <row r="27" spans="1:8">
      <c r="A27" s="515" t="s">
        <v>577</v>
      </c>
      <c r="B27" s="126"/>
      <c r="C27" s="126"/>
      <c r="D27" s="126"/>
      <c r="E27" s="126"/>
      <c r="F27" s="508">
        <v>222</v>
      </c>
      <c r="G27" s="508">
        <v>500</v>
      </c>
      <c r="H27" s="129"/>
    </row>
    <row r="28" spans="1:8">
      <c r="A28" s="514" t="s">
        <v>578</v>
      </c>
      <c r="B28" s="128"/>
      <c r="C28" s="128"/>
      <c r="D28" s="128"/>
      <c r="E28" s="128"/>
      <c r="F28" s="507">
        <v>223</v>
      </c>
      <c r="G28" s="507"/>
      <c r="H28" s="137">
        <f>SUM(H29:H31)</f>
        <v>0</v>
      </c>
    </row>
    <row r="29" spans="1:8">
      <c r="A29" s="515" t="s">
        <v>579</v>
      </c>
      <c r="B29" s="126"/>
      <c r="C29" s="126"/>
      <c r="D29" s="126"/>
      <c r="E29" s="126"/>
      <c r="F29" s="508">
        <v>223</v>
      </c>
      <c r="G29" s="508">
        <v>721</v>
      </c>
      <c r="H29" s="129"/>
    </row>
    <row r="30" spans="1:8">
      <c r="A30" s="515" t="s">
        <v>580</v>
      </c>
      <c r="B30" s="126"/>
      <c r="C30" s="126"/>
      <c r="D30" s="126"/>
      <c r="E30" s="126"/>
      <c r="F30" s="508">
        <v>223</v>
      </c>
      <c r="G30" s="508">
        <v>730</v>
      </c>
      <c r="H30" s="129"/>
    </row>
    <row r="31" spans="1:8">
      <c r="A31" s="515" t="s">
        <v>581</v>
      </c>
      <c r="B31" s="126"/>
      <c r="C31" s="126"/>
      <c r="D31" s="126"/>
      <c r="E31" s="126"/>
      <c r="F31" s="508">
        <v>223</v>
      </c>
      <c r="G31" s="508">
        <v>740</v>
      </c>
      <c r="H31" s="129"/>
    </row>
    <row r="32" spans="1:8">
      <c r="A32" s="514" t="s">
        <v>859</v>
      </c>
      <c r="B32" s="128"/>
      <c r="C32" s="128"/>
      <c r="D32" s="128"/>
      <c r="E32" s="128"/>
      <c r="F32" s="507">
        <v>225</v>
      </c>
      <c r="G32" s="507"/>
      <c r="H32" s="137">
        <f>SUM(H33:H35)</f>
        <v>0</v>
      </c>
    </row>
    <row r="33" spans="1:9">
      <c r="A33" s="437" t="s">
        <v>416</v>
      </c>
      <c r="B33" s="126"/>
      <c r="C33" s="126"/>
      <c r="D33" s="126"/>
      <c r="E33" s="126"/>
      <c r="F33" s="509">
        <v>225</v>
      </c>
      <c r="G33" s="509" t="s">
        <v>582</v>
      </c>
      <c r="H33" s="129"/>
    </row>
    <row r="34" spans="1:9" ht="24">
      <c r="A34" s="515" t="s">
        <v>860</v>
      </c>
      <c r="B34" s="126"/>
      <c r="C34" s="126"/>
      <c r="D34" s="126"/>
      <c r="E34" s="126"/>
      <c r="F34" s="508">
        <v>225</v>
      </c>
      <c r="G34" s="508" t="s">
        <v>583</v>
      </c>
      <c r="H34" s="129"/>
      <c r="I34" s="752"/>
    </row>
    <row r="35" spans="1:9">
      <c r="A35" s="515" t="s">
        <v>861</v>
      </c>
      <c r="B35" s="128"/>
      <c r="C35" s="128"/>
      <c r="D35" s="128"/>
      <c r="E35" s="128"/>
      <c r="F35" s="508">
        <v>225</v>
      </c>
      <c r="G35" s="508" t="s">
        <v>872</v>
      </c>
      <c r="H35" s="129"/>
    </row>
    <row r="36" spans="1:9">
      <c r="A36" s="514" t="s">
        <v>785</v>
      </c>
      <c r="B36" s="128" t="s">
        <v>368</v>
      </c>
      <c r="C36" s="128" t="s">
        <v>417</v>
      </c>
      <c r="D36" s="128" t="s">
        <v>200</v>
      </c>
      <c r="E36" s="128" t="s">
        <v>640</v>
      </c>
      <c r="F36" s="507" t="s">
        <v>575</v>
      </c>
      <c r="G36" s="507"/>
      <c r="H36" s="137">
        <f>SUM(H37:H43)</f>
        <v>113.8</v>
      </c>
    </row>
    <row r="37" spans="1:9">
      <c r="A37" s="515" t="s">
        <v>584</v>
      </c>
      <c r="B37" s="126"/>
      <c r="C37" s="126"/>
      <c r="D37" s="126"/>
      <c r="E37" s="126"/>
      <c r="F37" s="508">
        <v>226</v>
      </c>
      <c r="G37" s="508" t="s">
        <v>585</v>
      </c>
      <c r="H37" s="129"/>
      <c r="I37" s="753"/>
    </row>
    <row r="38" spans="1:9">
      <c r="A38" s="515" t="s">
        <v>586</v>
      </c>
      <c r="B38" s="126" t="s">
        <v>368</v>
      </c>
      <c r="C38" s="126" t="s">
        <v>417</v>
      </c>
      <c r="D38" s="126" t="s">
        <v>200</v>
      </c>
      <c r="E38" s="126" t="s">
        <v>640</v>
      </c>
      <c r="F38" s="508">
        <v>226</v>
      </c>
      <c r="G38" s="508" t="s">
        <v>587</v>
      </c>
      <c r="H38" s="129">
        <f ca="1">рГОиЧС!H10</f>
        <v>113.8</v>
      </c>
    </row>
    <row r="39" spans="1:9" ht="24">
      <c r="A39" s="515" t="s">
        <v>862</v>
      </c>
      <c r="B39" s="126"/>
      <c r="C39" s="126"/>
      <c r="D39" s="126"/>
      <c r="E39" s="126"/>
      <c r="F39" s="508">
        <v>226</v>
      </c>
      <c r="G39" s="508" t="s">
        <v>588</v>
      </c>
      <c r="H39" s="129"/>
    </row>
    <row r="40" spans="1:9">
      <c r="A40" s="515" t="s">
        <v>573</v>
      </c>
      <c r="B40" s="126"/>
      <c r="C40" s="126"/>
      <c r="D40" s="126"/>
      <c r="E40" s="463"/>
      <c r="F40" s="508">
        <v>226</v>
      </c>
      <c r="G40" s="508">
        <v>620</v>
      </c>
      <c r="H40" s="129"/>
    </row>
    <row r="41" spans="1:9">
      <c r="A41" s="515" t="s">
        <v>574</v>
      </c>
      <c r="B41" s="126"/>
      <c r="C41" s="126"/>
      <c r="D41" s="126"/>
      <c r="E41" s="463"/>
      <c r="F41" s="508">
        <v>226</v>
      </c>
      <c r="G41" s="508">
        <v>630</v>
      </c>
      <c r="H41" s="129"/>
    </row>
    <row r="42" spans="1:9">
      <c r="A42" s="515" t="s">
        <v>908</v>
      </c>
      <c r="B42" s="126"/>
      <c r="C42" s="126"/>
      <c r="D42" s="126"/>
      <c r="E42" s="126"/>
      <c r="F42" s="508">
        <v>226</v>
      </c>
      <c r="G42" s="508">
        <v>843</v>
      </c>
      <c r="H42" s="129"/>
    </row>
    <row r="43" spans="1:9">
      <c r="A43" s="437" t="s">
        <v>596</v>
      </c>
      <c r="B43" s="138"/>
      <c r="C43" s="138"/>
      <c r="D43" s="138"/>
      <c r="E43" s="138"/>
      <c r="F43" s="509">
        <v>226</v>
      </c>
      <c r="G43" s="509">
        <v>845</v>
      </c>
      <c r="H43" s="520"/>
    </row>
    <row r="44" spans="1:9" ht="25.5">
      <c r="A44" s="527" t="s">
        <v>848</v>
      </c>
      <c r="B44" s="522"/>
      <c r="C44" s="522"/>
      <c r="D44" s="522"/>
      <c r="E44" s="522"/>
      <c r="F44" s="506">
        <v>240</v>
      </c>
      <c r="G44" s="506"/>
      <c r="H44" s="523">
        <f>H45</f>
        <v>0</v>
      </c>
    </row>
    <row r="45" spans="1:9" ht="24">
      <c r="A45" s="127" t="s">
        <v>851</v>
      </c>
      <c r="B45" s="138"/>
      <c r="C45" s="138"/>
      <c r="D45" s="138"/>
      <c r="E45" s="138"/>
      <c r="F45" s="511">
        <v>244</v>
      </c>
      <c r="G45" s="511"/>
      <c r="H45" s="521"/>
    </row>
    <row r="46" spans="1:9">
      <c r="A46" s="513" t="s">
        <v>863</v>
      </c>
      <c r="B46" s="522"/>
      <c r="C46" s="522"/>
      <c r="D46" s="522"/>
      <c r="E46" s="522"/>
      <c r="F46" s="506" t="s">
        <v>589</v>
      </c>
      <c r="G46" s="506"/>
      <c r="H46" s="523">
        <f>H47</f>
        <v>0</v>
      </c>
      <c r="I46" s="752"/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522"/>
      <c r="C48" s="522"/>
      <c r="D48" s="522"/>
      <c r="E48" s="464"/>
      <c r="F48" s="506" t="s">
        <v>591</v>
      </c>
      <c r="G48" s="506"/>
      <c r="H48" s="523">
        <f>H49+H51</f>
        <v>0</v>
      </c>
    </row>
    <row r="49" spans="1:8" ht="24">
      <c r="A49" s="514" t="s">
        <v>866</v>
      </c>
      <c r="B49" s="138"/>
      <c r="C49" s="138"/>
      <c r="D49" s="138"/>
      <c r="E49" s="138"/>
      <c r="F49" s="507">
        <v>264</v>
      </c>
      <c r="G49" s="507"/>
      <c r="H49" s="521">
        <f>H50</f>
        <v>0</v>
      </c>
    </row>
    <row r="50" spans="1:8">
      <c r="A50" s="515" t="s">
        <v>592</v>
      </c>
      <c r="B50" s="128"/>
      <c r="C50" s="128"/>
      <c r="D50" s="128"/>
      <c r="E50" s="128"/>
      <c r="F50" s="508">
        <v>264</v>
      </c>
      <c r="G50" s="508" t="s">
        <v>593</v>
      </c>
      <c r="H50" s="129"/>
    </row>
    <row r="51" spans="1:8" ht="24">
      <c r="A51" s="514" t="s">
        <v>607</v>
      </c>
      <c r="B51" s="128"/>
      <c r="C51" s="128"/>
      <c r="D51" s="128"/>
      <c r="E51" s="464"/>
      <c r="F51" s="507">
        <v>266</v>
      </c>
      <c r="G51" s="507"/>
      <c r="H51" s="137"/>
    </row>
    <row r="52" spans="1:8">
      <c r="A52" s="513" t="s">
        <v>594</v>
      </c>
      <c r="B52" s="522"/>
      <c r="C52" s="522"/>
      <c r="D52" s="522"/>
      <c r="E52" s="522"/>
      <c r="F52" s="506" t="s">
        <v>595</v>
      </c>
      <c r="G52" s="506"/>
      <c r="H52" s="523">
        <f>SUM(H53:H58)</f>
        <v>0</v>
      </c>
    </row>
    <row r="53" spans="1:8">
      <c r="A53" s="516" t="s">
        <v>604</v>
      </c>
      <c r="B53" s="261"/>
      <c r="C53" s="261"/>
      <c r="D53" s="261"/>
      <c r="E53" s="261"/>
      <c r="F53" s="510">
        <v>291</v>
      </c>
      <c r="G53" s="510"/>
      <c r="H53" s="521"/>
    </row>
    <row r="54" spans="1:8">
      <c r="A54" s="516" t="s">
        <v>605</v>
      </c>
      <c r="B54" s="533"/>
      <c r="C54" s="533"/>
      <c r="D54" s="533"/>
      <c r="E54" s="533"/>
      <c r="F54" s="510">
        <v>292</v>
      </c>
      <c r="G54" s="510"/>
      <c r="H54" s="137"/>
    </row>
    <row r="55" spans="1:8">
      <c r="A55" s="516" t="s">
        <v>606</v>
      </c>
      <c r="B55" s="533"/>
      <c r="C55" s="533"/>
      <c r="D55" s="533"/>
      <c r="E55" s="533"/>
      <c r="F55" s="510">
        <v>293</v>
      </c>
      <c r="G55" s="510"/>
      <c r="H55" s="137"/>
    </row>
    <row r="56" spans="1:8">
      <c r="A56" s="516" t="s">
        <v>877</v>
      </c>
      <c r="B56" s="128"/>
      <c r="C56" s="128"/>
      <c r="D56" s="128"/>
      <c r="E56" s="128"/>
      <c r="F56" s="510">
        <v>295</v>
      </c>
      <c r="G56" s="510"/>
      <c r="H56" s="137"/>
    </row>
    <row r="57" spans="1:8">
      <c r="A57" s="516" t="s">
        <v>867</v>
      </c>
      <c r="B57" s="533"/>
      <c r="C57" s="533"/>
      <c r="D57" s="533"/>
      <c r="E57" s="533"/>
      <c r="F57" s="510">
        <v>296</v>
      </c>
      <c r="G57" s="510"/>
      <c r="H57" s="137"/>
    </row>
    <row r="58" spans="1:8">
      <c r="A58" s="516" t="s">
        <v>877</v>
      </c>
      <c r="B58" s="128"/>
      <c r="C58" s="128"/>
      <c r="D58" s="128"/>
      <c r="E58" s="128"/>
      <c r="F58" s="510">
        <v>297</v>
      </c>
      <c r="G58" s="510"/>
      <c r="H58" s="137"/>
    </row>
    <row r="59" spans="1:8">
      <c r="A59" s="513" t="s">
        <v>868</v>
      </c>
      <c r="B59" s="522"/>
      <c r="C59" s="522"/>
      <c r="D59" s="522"/>
      <c r="E59" s="522"/>
      <c r="F59" s="506" t="s">
        <v>436</v>
      </c>
      <c r="G59" s="506"/>
      <c r="H59" s="523">
        <f>H60+H62+H63+H64</f>
        <v>0</v>
      </c>
    </row>
    <row r="60" spans="1:8">
      <c r="A60" s="514" t="s">
        <v>597</v>
      </c>
      <c r="B60" s="261"/>
      <c r="C60" s="261"/>
      <c r="D60" s="261"/>
      <c r="E60" s="261"/>
      <c r="F60" s="511" t="s">
        <v>598</v>
      </c>
      <c r="G60" s="511"/>
      <c r="H60" s="521">
        <f>H61</f>
        <v>0</v>
      </c>
    </row>
    <row r="61" spans="1:8">
      <c r="A61" s="515" t="s">
        <v>599</v>
      </c>
      <c r="B61" s="126"/>
      <c r="C61" s="126"/>
      <c r="D61" s="126"/>
      <c r="E61" s="126"/>
      <c r="F61" s="508">
        <v>310</v>
      </c>
      <c r="G61" s="508" t="s">
        <v>600</v>
      </c>
      <c r="H61" s="129"/>
    </row>
    <row r="62" spans="1:8">
      <c r="A62" s="517" t="s">
        <v>869</v>
      </c>
      <c r="B62" s="128"/>
      <c r="C62" s="128"/>
      <c r="D62" s="128"/>
      <c r="E62" s="128"/>
      <c r="F62" s="511">
        <v>343</v>
      </c>
      <c r="G62" s="511"/>
      <c r="H62" s="137"/>
    </row>
    <row r="63" spans="1:8" ht="24">
      <c r="A63" s="517" t="s">
        <v>870</v>
      </c>
      <c r="B63" s="128"/>
      <c r="C63" s="128"/>
      <c r="D63" s="128"/>
      <c r="E63" s="128"/>
      <c r="F63" s="511">
        <v>346</v>
      </c>
      <c r="G63" s="511"/>
      <c r="H63" s="137"/>
    </row>
    <row r="64" spans="1:8" ht="24">
      <c r="A64" s="517" t="s">
        <v>871</v>
      </c>
      <c r="B64" s="128"/>
      <c r="C64" s="128"/>
      <c r="D64" s="128"/>
      <c r="E64" s="128"/>
      <c r="F64" s="511">
        <v>349</v>
      </c>
      <c r="G64" s="511"/>
      <c r="H64" s="137"/>
    </row>
    <row r="65" spans="1:9">
      <c r="A65" s="517" t="s">
        <v>710</v>
      </c>
      <c r="B65" s="128" t="s">
        <v>368</v>
      </c>
      <c r="C65" s="128" t="s">
        <v>417</v>
      </c>
      <c r="D65" s="128" t="s">
        <v>200</v>
      </c>
      <c r="E65" s="128" t="s">
        <v>375</v>
      </c>
      <c r="F65" s="511"/>
      <c r="G65" s="511"/>
      <c r="H65" s="137">
        <f>H36</f>
        <v>113.8</v>
      </c>
    </row>
    <row r="66" spans="1:9">
      <c r="A66" s="519" t="s">
        <v>602</v>
      </c>
      <c r="B66" s="128" t="s">
        <v>368</v>
      </c>
      <c r="C66" s="128" t="s">
        <v>417</v>
      </c>
      <c r="D66" s="128" t="s">
        <v>708</v>
      </c>
      <c r="E66" s="128" t="s">
        <v>570</v>
      </c>
      <c r="F66" s="518"/>
      <c r="G66" s="518"/>
      <c r="H66" s="137">
        <f>H59+H16</f>
        <v>113.8</v>
      </c>
      <c r="I66" s="549">
        <f>SUM(I16:I64)</f>
        <v>0</v>
      </c>
    </row>
    <row r="67" spans="1:9">
      <c r="A67" s="130"/>
      <c r="B67" s="131"/>
      <c r="C67" s="131"/>
      <c r="D67" s="131"/>
      <c r="E67" s="131"/>
      <c r="F67" s="131"/>
      <c r="G67" s="131"/>
      <c r="H67" s="132"/>
    </row>
    <row r="68" spans="1:9">
      <c r="I68" s="752"/>
    </row>
  </sheetData>
  <mergeCells count="23">
    <mergeCell ref="D5:E5"/>
    <mergeCell ref="F5:H5"/>
    <mergeCell ref="D1:H1"/>
    <mergeCell ref="D2:H2"/>
    <mergeCell ref="D3:H3"/>
    <mergeCell ref="D4:E4"/>
    <mergeCell ref="F4:H4"/>
    <mergeCell ref="G10:H10"/>
    <mergeCell ref="E11:F11"/>
    <mergeCell ref="A6:H6"/>
    <mergeCell ref="A7:H7"/>
    <mergeCell ref="E8:F8"/>
    <mergeCell ref="G8:H8"/>
    <mergeCell ref="G11:H11"/>
    <mergeCell ref="A12:H12"/>
    <mergeCell ref="A9:D9"/>
    <mergeCell ref="E9:F9"/>
    <mergeCell ref="G9:H9"/>
    <mergeCell ref="A14:A15"/>
    <mergeCell ref="B14:G14"/>
    <mergeCell ref="H14:H15"/>
    <mergeCell ref="A10:D10"/>
    <mergeCell ref="E10:F10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8"/>
  <sheetViews>
    <sheetView showZeros="0" topLeftCell="A37" workbookViewId="0">
      <selection activeCell="L16" sqref="L16"/>
    </sheetView>
  </sheetViews>
  <sheetFormatPr defaultColWidth="3.5703125" defaultRowHeight="15"/>
  <cols>
    <col min="1" max="1" width="49.42578125" customWidth="1"/>
    <col min="2" max="3" width="3.5703125" customWidth="1"/>
    <col min="4" max="4" width="11.42578125" customWidth="1"/>
    <col min="5" max="7" width="5.7109375" customWidth="1"/>
    <col min="8" max="8" width="9" customWidth="1"/>
    <col min="9" max="9" width="18.7109375" style="549" customWidth="1"/>
    <col min="10" max="253" width="9.140625" customWidth="1"/>
    <col min="254" max="254" width="49.42578125" customWidth="1"/>
  </cols>
  <sheetData>
    <row r="1" spans="1:9" s="119" customFormat="1" ht="17.25" customHeight="1">
      <c r="A1" s="118"/>
      <c r="D1" s="1105" t="s">
        <v>552</v>
      </c>
      <c r="E1" s="1105"/>
      <c r="F1" s="1105"/>
      <c r="G1" s="1105"/>
      <c r="H1" s="1105"/>
      <c r="I1" s="749"/>
    </row>
    <row r="2" spans="1:9" s="119" customFormat="1" ht="17.25" customHeight="1">
      <c r="A2" s="120"/>
      <c r="B2" s="120"/>
      <c r="C2" s="120"/>
      <c r="D2" s="1106" t="s">
        <v>553</v>
      </c>
      <c r="E2" s="1106"/>
      <c r="F2" s="1106"/>
      <c r="G2" s="1106"/>
      <c r="H2" s="1106"/>
      <c r="I2" s="749"/>
    </row>
    <row r="3" spans="1:9" s="119" customFormat="1" ht="12" customHeight="1">
      <c r="A3" s="121"/>
      <c r="B3" s="121"/>
      <c r="C3" s="121"/>
      <c r="D3" s="1107" t="s">
        <v>554</v>
      </c>
      <c r="E3" s="1107"/>
      <c r="F3" s="1107"/>
      <c r="G3" s="1107"/>
      <c r="H3" s="1107"/>
      <c r="I3" s="749"/>
    </row>
    <row r="4" spans="1:9" s="119" customFormat="1" ht="17.25" customHeight="1">
      <c r="D4" s="1108"/>
      <c r="E4" s="1108"/>
      <c r="F4" s="1108" t="str">
        <f ca="1">сВДЛ!F4</f>
        <v>М.В. Златова</v>
      </c>
      <c r="G4" s="1108"/>
      <c r="H4" s="1108"/>
      <c r="I4" s="749"/>
    </row>
    <row r="5" spans="1:9" s="119" customFormat="1" ht="10.5" customHeight="1">
      <c r="A5" s="122"/>
      <c r="D5" s="1107" t="s">
        <v>555</v>
      </c>
      <c r="E5" s="1107"/>
      <c r="F5" s="1107" t="s">
        <v>556</v>
      </c>
      <c r="G5" s="1107"/>
      <c r="H5" s="1107"/>
      <c r="I5" s="749"/>
    </row>
    <row r="6" spans="1:9" s="119" customFormat="1" ht="15" customHeight="1">
      <c r="A6" s="1113" t="s">
        <v>557</v>
      </c>
      <c r="B6" s="1113"/>
      <c r="C6" s="1113"/>
      <c r="D6" s="1113"/>
      <c r="E6" s="1113"/>
      <c r="F6" s="1113"/>
      <c r="G6" s="1113"/>
      <c r="H6" s="1113"/>
      <c r="I6" s="695"/>
    </row>
    <row r="7" spans="1:9" s="119" customFormat="1" ht="15" customHeight="1">
      <c r="A7" s="1113" t="str">
        <f ca="1">'СВОД смет'!A7:H7</f>
        <v>на 2021 год</v>
      </c>
      <c r="B7" s="1113"/>
      <c r="C7" s="1113"/>
      <c r="D7" s="1113"/>
      <c r="E7" s="1113"/>
      <c r="F7" s="1113"/>
      <c r="G7" s="1113"/>
      <c r="H7" s="1113"/>
      <c r="I7" s="695"/>
    </row>
    <row r="8" spans="1:9" s="119" customFormat="1" ht="13.5" customHeight="1">
      <c r="A8" s="123"/>
      <c r="B8" s="123"/>
      <c r="C8" s="123"/>
      <c r="D8" s="123"/>
      <c r="E8" s="1114"/>
      <c r="F8" s="1115"/>
      <c r="G8" s="1116" t="s">
        <v>558</v>
      </c>
      <c r="H8" s="1117"/>
      <c r="I8" s="696"/>
    </row>
    <row r="9" spans="1:9" s="119" customFormat="1" ht="13.5" customHeight="1">
      <c r="A9" s="1109" t="s">
        <v>559</v>
      </c>
      <c r="B9" s="1109"/>
      <c r="C9" s="1109"/>
      <c r="D9" s="1110"/>
      <c r="E9" s="1111" t="s">
        <v>560</v>
      </c>
      <c r="F9" s="1111"/>
      <c r="G9" s="1112">
        <v>4109076</v>
      </c>
      <c r="H9" s="1112"/>
      <c r="I9" s="697"/>
    </row>
    <row r="10" spans="1:9" s="119" customFormat="1" ht="13.5" customHeight="1">
      <c r="A10" s="1123" t="s">
        <v>561</v>
      </c>
      <c r="B10" s="1123"/>
      <c r="C10" s="1123"/>
      <c r="D10" s="1124"/>
      <c r="E10" s="1111" t="s">
        <v>562</v>
      </c>
      <c r="F10" s="1111"/>
      <c r="G10" s="1112"/>
      <c r="H10" s="1112"/>
      <c r="I10" s="697"/>
    </row>
    <row r="11" spans="1:9" s="119" customFormat="1" ht="13.5" customHeight="1">
      <c r="A11" s="134" t="s">
        <v>563</v>
      </c>
      <c r="B11" s="124"/>
      <c r="C11" s="124"/>
      <c r="D11" s="124"/>
      <c r="E11" s="1111" t="s">
        <v>564</v>
      </c>
      <c r="F11" s="1111"/>
      <c r="G11" s="1112">
        <v>384</v>
      </c>
      <c r="H11" s="1112"/>
      <c r="I11" s="698"/>
    </row>
    <row r="12" spans="1:9" s="1" customFormat="1" ht="31.5" customHeight="1">
      <c r="A12" s="1126" t="s">
        <v>202</v>
      </c>
      <c r="B12" s="1126"/>
      <c r="C12" s="1126"/>
      <c r="D12" s="1126"/>
      <c r="E12" s="1126"/>
      <c r="F12" s="1126"/>
      <c r="G12" s="1126"/>
      <c r="H12" s="1126"/>
      <c r="I12" s="750"/>
    </row>
    <row r="13" spans="1:9" s="1" customFormat="1" ht="6" customHeight="1">
      <c r="E13" s="125"/>
      <c r="F13" s="125"/>
      <c r="G13" s="125"/>
      <c r="H13" s="125"/>
      <c r="I13" s="750"/>
    </row>
    <row r="14" spans="1:9" s="1" customFormat="1">
      <c r="A14" s="1118" t="s">
        <v>565</v>
      </c>
      <c r="B14" s="1119" t="s">
        <v>566</v>
      </c>
      <c r="C14" s="1120"/>
      <c r="D14" s="1120"/>
      <c r="E14" s="1120"/>
      <c r="F14" s="1120"/>
      <c r="G14" s="1121"/>
      <c r="H14" s="1122" t="s">
        <v>873</v>
      </c>
      <c r="I14" s="750"/>
    </row>
    <row r="15" spans="1:9" ht="46.5" customHeight="1">
      <c r="A15" s="1118"/>
      <c r="B15" s="135" t="s">
        <v>351</v>
      </c>
      <c r="C15" s="135" t="s">
        <v>352</v>
      </c>
      <c r="D15" s="136" t="s">
        <v>353</v>
      </c>
      <c r="E15" s="135" t="s">
        <v>567</v>
      </c>
      <c r="F15" s="136" t="s">
        <v>568</v>
      </c>
      <c r="G15" s="136" t="s">
        <v>569</v>
      </c>
      <c r="H15" s="1122"/>
      <c r="I15" s="751"/>
    </row>
    <row r="16" spans="1:9">
      <c r="A16" s="512" t="s">
        <v>852</v>
      </c>
      <c r="B16" s="529" t="s">
        <v>368</v>
      </c>
      <c r="C16" s="529" t="s">
        <v>201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11.2</v>
      </c>
    </row>
    <row r="17" spans="1:8">
      <c r="A17" s="513" t="s">
        <v>853</v>
      </c>
      <c r="B17" s="525"/>
      <c r="C17" s="525"/>
      <c r="D17" s="525"/>
      <c r="E17" s="525"/>
      <c r="F17" s="506">
        <v>210</v>
      </c>
      <c r="G17" s="506"/>
      <c r="H17" s="526">
        <f>H18+H19+H21+H22</f>
        <v>0</v>
      </c>
    </row>
    <row r="18" spans="1:8">
      <c r="A18" s="514" t="s">
        <v>571</v>
      </c>
      <c r="B18" s="128"/>
      <c r="C18" s="128"/>
      <c r="D18" s="128"/>
      <c r="E18" s="465"/>
      <c r="F18" s="507">
        <v>211</v>
      </c>
      <c r="G18" s="507"/>
      <c r="H18" s="137"/>
    </row>
    <row r="19" spans="1:8">
      <c r="A19" s="514" t="s">
        <v>854</v>
      </c>
      <c r="B19" s="128"/>
      <c r="C19" s="128"/>
      <c r="D19" s="128"/>
      <c r="E19" s="464"/>
      <c r="F19" s="507">
        <v>212</v>
      </c>
      <c r="G19" s="507"/>
      <c r="H19" s="137">
        <f>H20</f>
        <v>0</v>
      </c>
    </row>
    <row r="20" spans="1:8">
      <c r="A20" s="515" t="s">
        <v>572</v>
      </c>
      <c r="B20" s="126"/>
      <c r="C20" s="126"/>
      <c r="D20" s="126"/>
      <c r="E20" s="463"/>
      <c r="F20" s="508">
        <v>212</v>
      </c>
      <c r="G20" s="508">
        <v>610</v>
      </c>
      <c r="H20" s="129"/>
    </row>
    <row r="21" spans="1:8">
      <c r="A21" s="514" t="s">
        <v>855</v>
      </c>
      <c r="B21" s="128"/>
      <c r="C21" s="128"/>
      <c r="D21" s="128"/>
      <c r="E21" s="465"/>
      <c r="F21" s="507">
        <v>213</v>
      </c>
      <c r="G21" s="507"/>
      <c r="H21" s="137"/>
    </row>
    <row r="22" spans="1:8" ht="24">
      <c r="A22" s="514" t="s">
        <v>856</v>
      </c>
      <c r="B22" s="128"/>
      <c r="C22" s="128"/>
      <c r="D22" s="128"/>
      <c r="E22" s="464"/>
      <c r="F22" s="507">
        <v>214</v>
      </c>
      <c r="G22" s="507"/>
      <c r="H22" s="137">
        <f>H23</f>
        <v>0</v>
      </c>
    </row>
    <row r="23" spans="1:8">
      <c r="A23" s="515" t="s">
        <v>646</v>
      </c>
      <c r="B23" s="126"/>
      <c r="C23" s="126"/>
      <c r="D23" s="126"/>
      <c r="E23" s="463"/>
      <c r="F23" s="508">
        <v>214</v>
      </c>
      <c r="G23" s="508">
        <v>831</v>
      </c>
      <c r="H23" s="129"/>
    </row>
    <row r="24" spans="1:8">
      <c r="A24" s="513" t="s">
        <v>857</v>
      </c>
      <c r="B24" s="525" t="s">
        <v>368</v>
      </c>
      <c r="C24" s="525" t="s">
        <v>201</v>
      </c>
      <c r="D24" s="525" t="s">
        <v>708</v>
      </c>
      <c r="E24" s="525" t="s">
        <v>375</v>
      </c>
      <c r="F24" s="506">
        <v>220</v>
      </c>
      <c r="G24" s="506"/>
      <c r="H24" s="526">
        <f>H25+H26+H28+H32+H36</f>
        <v>11.2</v>
      </c>
    </row>
    <row r="25" spans="1:8">
      <c r="A25" s="514" t="s">
        <v>576</v>
      </c>
      <c r="B25" s="128"/>
      <c r="C25" s="128"/>
      <c r="D25" s="128"/>
      <c r="E25" s="128"/>
      <c r="F25" s="507">
        <v>221</v>
      </c>
      <c r="G25" s="507"/>
      <c r="H25" s="137"/>
    </row>
    <row r="26" spans="1:8">
      <c r="A26" s="514" t="s">
        <v>858</v>
      </c>
      <c r="B26" s="128"/>
      <c r="C26" s="128"/>
      <c r="D26" s="128"/>
      <c r="E26" s="128"/>
      <c r="F26" s="507">
        <v>222</v>
      </c>
      <c r="G26" s="507"/>
      <c r="H26" s="137">
        <f>H27</f>
        <v>0</v>
      </c>
    </row>
    <row r="27" spans="1:8">
      <c r="A27" s="515" t="s">
        <v>577</v>
      </c>
      <c r="B27" s="126"/>
      <c r="C27" s="126"/>
      <c r="D27" s="126"/>
      <c r="E27" s="126"/>
      <c r="F27" s="508">
        <v>222</v>
      </c>
      <c r="G27" s="508">
        <v>500</v>
      </c>
      <c r="H27" s="129"/>
    </row>
    <row r="28" spans="1:8">
      <c r="A28" s="514" t="s">
        <v>578</v>
      </c>
      <c r="B28" s="128"/>
      <c r="C28" s="128"/>
      <c r="D28" s="128"/>
      <c r="E28" s="128"/>
      <c r="F28" s="507">
        <v>223</v>
      </c>
      <c r="G28" s="507"/>
      <c r="H28" s="137">
        <f>SUM(H29:H31)</f>
        <v>0</v>
      </c>
    </row>
    <row r="29" spans="1:8">
      <c r="A29" s="515" t="s">
        <v>579</v>
      </c>
      <c r="B29" s="126"/>
      <c r="C29" s="126"/>
      <c r="D29" s="126"/>
      <c r="E29" s="126"/>
      <c r="F29" s="508">
        <v>223</v>
      </c>
      <c r="G29" s="508">
        <v>721</v>
      </c>
      <c r="H29" s="129"/>
    </row>
    <row r="30" spans="1:8">
      <c r="A30" s="515" t="s">
        <v>580</v>
      </c>
      <c r="B30" s="126"/>
      <c r="C30" s="126"/>
      <c r="D30" s="126"/>
      <c r="E30" s="126"/>
      <c r="F30" s="508">
        <v>223</v>
      </c>
      <c r="G30" s="508">
        <v>730</v>
      </c>
      <c r="H30" s="129"/>
    </row>
    <row r="31" spans="1:8">
      <c r="A31" s="515" t="s">
        <v>581</v>
      </c>
      <c r="B31" s="126"/>
      <c r="C31" s="126"/>
      <c r="D31" s="126"/>
      <c r="E31" s="126"/>
      <c r="F31" s="508">
        <v>223</v>
      </c>
      <c r="G31" s="508">
        <v>740</v>
      </c>
      <c r="H31" s="129"/>
    </row>
    <row r="32" spans="1:8">
      <c r="A32" s="514" t="s">
        <v>859</v>
      </c>
      <c r="B32" s="128"/>
      <c r="C32" s="128"/>
      <c r="D32" s="128"/>
      <c r="E32" s="128"/>
      <c r="F32" s="507">
        <v>225</v>
      </c>
      <c r="G32" s="507"/>
      <c r="H32" s="137">
        <f>SUM(H33:H35)</f>
        <v>0</v>
      </c>
    </row>
    <row r="33" spans="1:9">
      <c r="A33" s="437" t="s">
        <v>416</v>
      </c>
      <c r="B33" s="126"/>
      <c r="C33" s="126"/>
      <c r="D33" s="126"/>
      <c r="E33" s="126"/>
      <c r="F33" s="509">
        <v>225</v>
      </c>
      <c r="G33" s="509" t="s">
        <v>582</v>
      </c>
      <c r="H33" s="129"/>
    </row>
    <row r="34" spans="1:9" ht="24">
      <c r="A34" s="515" t="s">
        <v>860</v>
      </c>
      <c r="B34" s="126"/>
      <c r="C34" s="126"/>
      <c r="D34" s="126"/>
      <c r="E34" s="126"/>
      <c r="F34" s="508">
        <v>225</v>
      </c>
      <c r="G34" s="508" t="s">
        <v>583</v>
      </c>
      <c r="H34" s="129"/>
      <c r="I34" s="752"/>
    </row>
    <row r="35" spans="1:9">
      <c r="A35" s="515" t="s">
        <v>861</v>
      </c>
      <c r="B35" s="128"/>
      <c r="C35" s="128"/>
      <c r="D35" s="128"/>
      <c r="E35" s="128"/>
      <c r="F35" s="508">
        <v>225</v>
      </c>
      <c r="G35" s="508" t="s">
        <v>872</v>
      </c>
      <c r="H35" s="129"/>
    </row>
    <row r="36" spans="1:9">
      <c r="A36" s="514" t="s">
        <v>785</v>
      </c>
      <c r="B36" s="128" t="s">
        <v>368</v>
      </c>
      <c r="C36" s="128" t="s">
        <v>201</v>
      </c>
      <c r="D36" s="128" t="s">
        <v>200</v>
      </c>
      <c r="E36" s="128" t="s">
        <v>640</v>
      </c>
      <c r="F36" s="507" t="s">
        <v>575</v>
      </c>
      <c r="G36" s="507"/>
      <c r="H36" s="137">
        <f>SUM(H37:H43)</f>
        <v>11.2</v>
      </c>
    </row>
    <row r="37" spans="1:9">
      <c r="A37" s="515" t="s">
        <v>584</v>
      </c>
      <c r="B37" s="126"/>
      <c r="C37" s="126"/>
      <c r="D37" s="126"/>
      <c r="E37" s="126"/>
      <c r="F37" s="508">
        <v>226</v>
      </c>
      <c r="G37" s="508" t="s">
        <v>585</v>
      </c>
      <c r="H37" s="129"/>
      <c r="I37" s="753"/>
    </row>
    <row r="38" spans="1:9">
      <c r="A38" s="515" t="s">
        <v>586</v>
      </c>
      <c r="B38" s="126" t="s">
        <v>368</v>
      </c>
      <c r="C38" s="126" t="s">
        <v>201</v>
      </c>
      <c r="D38" s="126" t="s">
        <v>200</v>
      </c>
      <c r="E38" s="126" t="s">
        <v>640</v>
      </c>
      <c r="F38" s="508">
        <v>226</v>
      </c>
      <c r="G38" s="508" t="s">
        <v>587</v>
      </c>
      <c r="H38" s="129">
        <f ca="1">рГОиЧС!H11</f>
        <v>11.2</v>
      </c>
    </row>
    <row r="39" spans="1:9" ht="24">
      <c r="A39" s="515" t="s">
        <v>862</v>
      </c>
      <c r="B39" s="126"/>
      <c r="C39" s="126"/>
      <c r="D39" s="126"/>
      <c r="E39" s="126"/>
      <c r="F39" s="508">
        <v>226</v>
      </c>
      <c r="G39" s="508" t="s">
        <v>588</v>
      </c>
      <c r="H39" s="129"/>
    </row>
    <row r="40" spans="1:9">
      <c r="A40" s="515" t="s">
        <v>573</v>
      </c>
      <c r="B40" s="126"/>
      <c r="C40" s="126"/>
      <c r="D40" s="126"/>
      <c r="E40" s="463"/>
      <c r="F40" s="508">
        <v>226</v>
      </c>
      <c r="G40" s="508">
        <v>620</v>
      </c>
      <c r="H40" s="129"/>
    </row>
    <row r="41" spans="1:9">
      <c r="A41" s="515" t="s">
        <v>574</v>
      </c>
      <c r="B41" s="126"/>
      <c r="C41" s="126"/>
      <c r="D41" s="126"/>
      <c r="E41" s="463"/>
      <c r="F41" s="508">
        <v>226</v>
      </c>
      <c r="G41" s="508">
        <v>630</v>
      </c>
      <c r="H41" s="129"/>
    </row>
    <row r="42" spans="1:9">
      <c r="A42" s="515" t="s">
        <v>908</v>
      </c>
      <c r="B42" s="126"/>
      <c r="C42" s="126"/>
      <c r="D42" s="126"/>
      <c r="E42" s="126"/>
      <c r="F42" s="508">
        <v>226</v>
      </c>
      <c r="G42" s="508">
        <v>843</v>
      </c>
      <c r="H42" s="129"/>
    </row>
    <row r="43" spans="1:9">
      <c r="A43" s="437" t="s">
        <v>596</v>
      </c>
      <c r="B43" s="138"/>
      <c r="C43" s="138"/>
      <c r="D43" s="138"/>
      <c r="E43" s="138"/>
      <c r="F43" s="509">
        <v>226</v>
      </c>
      <c r="G43" s="509">
        <v>845</v>
      </c>
      <c r="H43" s="520"/>
    </row>
    <row r="44" spans="1:9" ht="25.5">
      <c r="A44" s="527" t="s">
        <v>848</v>
      </c>
      <c r="B44" s="522"/>
      <c r="C44" s="522"/>
      <c r="D44" s="522"/>
      <c r="E44" s="522"/>
      <c r="F44" s="506">
        <v>240</v>
      </c>
      <c r="G44" s="506"/>
      <c r="H44" s="523">
        <f>H45</f>
        <v>0</v>
      </c>
    </row>
    <row r="45" spans="1:9" ht="24">
      <c r="A45" s="127" t="s">
        <v>851</v>
      </c>
      <c r="B45" s="138"/>
      <c r="C45" s="138"/>
      <c r="D45" s="138"/>
      <c r="E45" s="138"/>
      <c r="F45" s="511">
        <v>244</v>
      </c>
      <c r="G45" s="511"/>
      <c r="H45" s="521"/>
    </row>
    <row r="46" spans="1:9">
      <c r="A46" s="513" t="s">
        <v>863</v>
      </c>
      <c r="B46" s="522"/>
      <c r="C46" s="522"/>
      <c r="D46" s="522"/>
      <c r="E46" s="522"/>
      <c r="F46" s="506" t="s">
        <v>589</v>
      </c>
      <c r="G46" s="506"/>
      <c r="H46" s="523">
        <f>H47</f>
        <v>0</v>
      </c>
      <c r="I46" s="752"/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522"/>
      <c r="C48" s="522"/>
      <c r="D48" s="522"/>
      <c r="E48" s="464"/>
      <c r="F48" s="506" t="s">
        <v>591</v>
      </c>
      <c r="G48" s="506"/>
      <c r="H48" s="523">
        <f>H49+H51</f>
        <v>0</v>
      </c>
    </row>
    <row r="49" spans="1:8" ht="24">
      <c r="A49" s="514" t="s">
        <v>866</v>
      </c>
      <c r="B49" s="138"/>
      <c r="C49" s="138"/>
      <c r="D49" s="138"/>
      <c r="E49" s="138"/>
      <c r="F49" s="507">
        <v>264</v>
      </c>
      <c r="G49" s="507"/>
      <c r="H49" s="521">
        <f>H50</f>
        <v>0</v>
      </c>
    </row>
    <row r="50" spans="1:8">
      <c r="A50" s="515" t="s">
        <v>592</v>
      </c>
      <c r="B50" s="128"/>
      <c r="C50" s="128"/>
      <c r="D50" s="128"/>
      <c r="E50" s="128"/>
      <c r="F50" s="508">
        <v>264</v>
      </c>
      <c r="G50" s="508" t="s">
        <v>593</v>
      </c>
      <c r="H50" s="129"/>
    </row>
    <row r="51" spans="1:8" ht="24">
      <c r="A51" s="514" t="s">
        <v>607</v>
      </c>
      <c r="B51" s="128"/>
      <c r="C51" s="128"/>
      <c r="D51" s="128"/>
      <c r="E51" s="464"/>
      <c r="F51" s="507">
        <v>266</v>
      </c>
      <c r="G51" s="507"/>
      <c r="H51" s="137"/>
    </row>
    <row r="52" spans="1:8">
      <c r="A52" s="513" t="s">
        <v>594</v>
      </c>
      <c r="B52" s="522"/>
      <c r="C52" s="522"/>
      <c r="D52" s="522"/>
      <c r="E52" s="522"/>
      <c r="F52" s="506" t="s">
        <v>595</v>
      </c>
      <c r="G52" s="506"/>
      <c r="H52" s="523">
        <f>SUM(H53:H58)</f>
        <v>0</v>
      </c>
    </row>
    <row r="53" spans="1:8">
      <c r="A53" s="516" t="s">
        <v>604</v>
      </c>
      <c r="B53" s="261"/>
      <c r="C53" s="261"/>
      <c r="D53" s="261"/>
      <c r="E53" s="261"/>
      <c r="F53" s="510">
        <v>291</v>
      </c>
      <c r="G53" s="510"/>
      <c r="H53" s="521"/>
    </row>
    <row r="54" spans="1:8">
      <c r="A54" s="516" t="s">
        <v>605</v>
      </c>
      <c r="B54" s="533"/>
      <c r="C54" s="533"/>
      <c r="D54" s="533"/>
      <c r="E54" s="533"/>
      <c r="F54" s="510">
        <v>292</v>
      </c>
      <c r="G54" s="510"/>
      <c r="H54" s="137"/>
    </row>
    <row r="55" spans="1:8">
      <c r="A55" s="516" t="s">
        <v>606</v>
      </c>
      <c r="B55" s="533"/>
      <c r="C55" s="533"/>
      <c r="D55" s="533"/>
      <c r="E55" s="533"/>
      <c r="F55" s="510">
        <v>293</v>
      </c>
      <c r="G55" s="510"/>
      <c r="H55" s="137"/>
    </row>
    <row r="56" spans="1:8">
      <c r="A56" s="516" t="s">
        <v>877</v>
      </c>
      <c r="B56" s="128"/>
      <c r="C56" s="128"/>
      <c r="D56" s="128"/>
      <c r="E56" s="128"/>
      <c r="F56" s="510">
        <v>295</v>
      </c>
      <c r="G56" s="510"/>
      <c r="H56" s="137"/>
    </row>
    <row r="57" spans="1:8">
      <c r="A57" s="516" t="s">
        <v>867</v>
      </c>
      <c r="B57" s="533"/>
      <c r="C57" s="533"/>
      <c r="D57" s="533"/>
      <c r="E57" s="533"/>
      <c r="F57" s="510">
        <v>296</v>
      </c>
      <c r="G57" s="510"/>
      <c r="H57" s="137"/>
    </row>
    <row r="58" spans="1:8">
      <c r="A58" s="516" t="s">
        <v>877</v>
      </c>
      <c r="B58" s="128"/>
      <c r="C58" s="128"/>
      <c r="D58" s="128"/>
      <c r="E58" s="128"/>
      <c r="F58" s="510">
        <v>297</v>
      </c>
      <c r="G58" s="510"/>
      <c r="H58" s="137"/>
    </row>
    <row r="59" spans="1:8">
      <c r="A59" s="513" t="s">
        <v>868</v>
      </c>
      <c r="B59" s="522"/>
      <c r="C59" s="522"/>
      <c r="D59" s="522"/>
      <c r="E59" s="522"/>
      <c r="F59" s="506" t="s">
        <v>436</v>
      </c>
      <c r="G59" s="506"/>
      <c r="H59" s="523">
        <f>H60+H62+H63+H64</f>
        <v>0</v>
      </c>
    </row>
    <row r="60" spans="1:8">
      <c r="A60" s="514" t="s">
        <v>597</v>
      </c>
      <c r="B60" s="261"/>
      <c r="C60" s="261"/>
      <c r="D60" s="261"/>
      <c r="E60" s="261"/>
      <c r="F60" s="511" t="s">
        <v>598</v>
      </c>
      <c r="G60" s="511"/>
      <c r="H60" s="521">
        <f>H61</f>
        <v>0</v>
      </c>
    </row>
    <row r="61" spans="1:8">
      <c r="A61" s="515" t="s">
        <v>599</v>
      </c>
      <c r="B61" s="126"/>
      <c r="C61" s="126"/>
      <c r="D61" s="126"/>
      <c r="E61" s="126"/>
      <c r="F61" s="508">
        <v>310</v>
      </c>
      <c r="G61" s="508" t="s">
        <v>600</v>
      </c>
      <c r="H61" s="129"/>
    </row>
    <row r="62" spans="1:8">
      <c r="A62" s="517" t="s">
        <v>869</v>
      </c>
      <c r="B62" s="128"/>
      <c r="C62" s="128"/>
      <c r="D62" s="128"/>
      <c r="E62" s="128"/>
      <c r="F62" s="511">
        <v>343</v>
      </c>
      <c r="G62" s="511"/>
      <c r="H62" s="137"/>
    </row>
    <row r="63" spans="1:8" ht="24">
      <c r="A63" s="517" t="s">
        <v>870</v>
      </c>
      <c r="B63" s="128"/>
      <c r="C63" s="128"/>
      <c r="D63" s="128"/>
      <c r="E63" s="128"/>
      <c r="F63" s="511">
        <v>346</v>
      </c>
      <c r="G63" s="511"/>
      <c r="H63" s="137"/>
    </row>
    <row r="64" spans="1:8" ht="24">
      <c r="A64" s="517" t="s">
        <v>871</v>
      </c>
      <c r="B64" s="128"/>
      <c r="C64" s="128"/>
      <c r="D64" s="128"/>
      <c r="E64" s="128"/>
      <c r="F64" s="511">
        <v>349</v>
      </c>
      <c r="G64" s="511"/>
      <c r="H64" s="137"/>
    </row>
    <row r="65" spans="1:9">
      <c r="A65" s="517" t="s">
        <v>710</v>
      </c>
      <c r="B65" s="128" t="s">
        <v>368</v>
      </c>
      <c r="C65" s="128" t="s">
        <v>201</v>
      </c>
      <c r="D65" s="128" t="s">
        <v>200</v>
      </c>
      <c r="E65" s="128" t="s">
        <v>375</v>
      </c>
      <c r="F65" s="511"/>
      <c r="G65" s="511"/>
      <c r="H65" s="137">
        <f>H36</f>
        <v>11.2</v>
      </c>
    </row>
    <row r="66" spans="1:9">
      <c r="A66" s="519" t="s">
        <v>602</v>
      </c>
      <c r="B66" s="128" t="s">
        <v>368</v>
      </c>
      <c r="C66" s="128" t="s">
        <v>201</v>
      </c>
      <c r="D66" s="128" t="s">
        <v>708</v>
      </c>
      <c r="E66" s="128" t="s">
        <v>570</v>
      </c>
      <c r="F66" s="518"/>
      <c r="G66" s="518"/>
      <c r="H66" s="137">
        <f>H59+H16</f>
        <v>11.2</v>
      </c>
      <c r="I66" s="549">
        <f>SUM(I16:I64)</f>
        <v>0</v>
      </c>
    </row>
    <row r="67" spans="1:9">
      <c r="A67" s="130"/>
      <c r="B67" s="131"/>
      <c r="C67" s="131"/>
      <c r="D67" s="131"/>
      <c r="E67" s="131"/>
      <c r="F67" s="131"/>
      <c r="G67" s="131"/>
      <c r="H67" s="132"/>
    </row>
    <row r="68" spans="1:9">
      <c r="I68" s="752"/>
    </row>
  </sheetData>
  <mergeCells count="23">
    <mergeCell ref="D5:E5"/>
    <mergeCell ref="F5:H5"/>
    <mergeCell ref="D1:H1"/>
    <mergeCell ref="D2:H2"/>
    <mergeCell ref="D3:H3"/>
    <mergeCell ref="D4:E4"/>
    <mergeCell ref="F4:H4"/>
    <mergeCell ref="G10:H10"/>
    <mergeCell ref="E11:F11"/>
    <mergeCell ref="A6:H6"/>
    <mergeCell ref="A7:H7"/>
    <mergeCell ref="E8:F8"/>
    <mergeCell ref="G8:H8"/>
    <mergeCell ref="G11:H11"/>
    <mergeCell ref="A12:H12"/>
    <mergeCell ref="A9:D9"/>
    <mergeCell ref="E9:F9"/>
    <mergeCell ref="G9:H9"/>
    <mergeCell ref="A14:A15"/>
    <mergeCell ref="B14:G14"/>
    <mergeCell ref="H14:H15"/>
    <mergeCell ref="A10:D10"/>
    <mergeCell ref="E10:F10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00B0F0"/>
  </sheetPr>
  <dimension ref="A1:M22"/>
  <sheetViews>
    <sheetView workbookViewId="0">
      <selection activeCell="F10" sqref="F10"/>
    </sheetView>
  </sheetViews>
  <sheetFormatPr defaultColWidth="10.5703125" defaultRowHeight="15"/>
  <cols>
    <col min="1" max="1" width="4" style="262" customWidth="1"/>
    <col min="2" max="2" width="27" style="262" customWidth="1"/>
    <col min="3" max="4" width="6.7109375" style="262" customWidth="1"/>
    <col min="5" max="5" width="9.85546875" style="262" customWidth="1"/>
    <col min="6" max="6" width="10.28515625" style="262" customWidth="1"/>
    <col min="7" max="7" width="11.7109375" style="262" customWidth="1"/>
    <col min="8" max="8" width="11.5703125" style="262" customWidth="1"/>
    <col min="9" max="9" width="12.5703125" style="262" customWidth="1"/>
    <col min="10" max="10" width="10.5703125" style="262" bestFit="1" customWidth="1"/>
    <col min="11" max="11" width="9.140625" style="262" customWidth="1"/>
    <col min="12" max="12" width="12.140625" style="262" customWidth="1"/>
    <col min="13" max="254" width="9.140625" style="262" customWidth="1"/>
    <col min="255" max="255" width="4" style="262" customWidth="1"/>
    <col min="256" max="16384" width="10.5703125" style="262"/>
  </cols>
  <sheetData>
    <row r="1" spans="1:13" ht="30" customHeight="1">
      <c r="A1" s="988" t="s">
        <v>413</v>
      </c>
      <c r="B1" s="988"/>
      <c r="C1" s="988"/>
      <c r="D1" s="988"/>
      <c r="E1" s="988"/>
      <c r="F1" s="988"/>
      <c r="G1" s="988"/>
      <c r="H1" s="988"/>
    </row>
    <row r="3" spans="1:13" ht="15.75">
      <c r="A3" s="1003" t="s">
        <v>609</v>
      </c>
      <c r="B3" s="1003"/>
      <c r="C3" s="1003"/>
      <c r="D3" s="1003"/>
      <c r="E3" s="1003"/>
      <c r="F3" s="1003"/>
      <c r="G3" s="1003"/>
      <c r="H3" s="187"/>
    </row>
    <row r="4" spans="1:13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88"/>
    </row>
    <row r="5" spans="1:13" ht="15" customHeight="1">
      <c r="A5" s="186"/>
      <c r="B5" s="186"/>
      <c r="C5" s="186"/>
      <c r="D5" s="186"/>
      <c r="E5" s="186"/>
      <c r="F5" s="186"/>
      <c r="G5" s="186"/>
      <c r="H5" s="188"/>
    </row>
    <row r="6" spans="1:13">
      <c r="A6" s="994" t="s">
        <v>732</v>
      </c>
      <c r="B6" s="994"/>
      <c r="C6" s="994"/>
      <c r="D6" s="994"/>
      <c r="E6" s="994"/>
      <c r="F6" s="994"/>
      <c r="G6" s="994"/>
      <c r="H6" s="994"/>
    </row>
    <row r="7" spans="1:13" ht="24" customHeight="1">
      <c r="A7" s="157" t="s">
        <v>483</v>
      </c>
      <c r="B7" s="157" t="s">
        <v>715</v>
      </c>
      <c r="C7" s="154" t="s">
        <v>568</v>
      </c>
      <c r="D7" s="157" t="s">
        <v>7</v>
      </c>
      <c r="E7" s="157" t="s">
        <v>635</v>
      </c>
      <c r="F7" s="157" t="s">
        <v>48</v>
      </c>
      <c r="G7" s="157" t="s">
        <v>690</v>
      </c>
      <c r="H7" s="157" t="s">
        <v>626</v>
      </c>
    </row>
    <row r="8" spans="1:13">
      <c r="A8" s="160">
        <v>1</v>
      </c>
      <c r="B8" s="160">
        <v>2</v>
      </c>
      <c r="C8" s="160">
        <v>3</v>
      </c>
      <c r="D8" s="160">
        <v>4</v>
      </c>
      <c r="E8" s="160">
        <v>5</v>
      </c>
      <c r="F8" s="160">
        <v>6</v>
      </c>
      <c r="G8" s="160">
        <v>7</v>
      </c>
      <c r="H8" s="160">
        <v>8</v>
      </c>
    </row>
    <row r="9" spans="1:13" ht="96">
      <c r="A9" s="160">
        <v>1</v>
      </c>
      <c r="B9" s="437" t="s">
        <v>164</v>
      </c>
      <c r="C9" s="157">
        <v>226</v>
      </c>
      <c r="D9" s="218" t="s">
        <v>587</v>
      </c>
      <c r="E9" s="243">
        <v>2</v>
      </c>
      <c r="F9" s="251">
        <v>53050</v>
      </c>
      <c r="G9" s="249">
        <f>F9*E9</f>
        <v>106100</v>
      </c>
      <c r="H9" s="265">
        <f>ROUND(G9/1000,1)</f>
        <v>106.1</v>
      </c>
    </row>
    <row r="10" spans="1:13" ht="60">
      <c r="A10" s="160">
        <v>2</v>
      </c>
      <c r="B10" s="437" t="s">
        <v>163</v>
      </c>
      <c r="C10" s="157">
        <v>226</v>
      </c>
      <c r="D10" s="218" t="s">
        <v>587</v>
      </c>
      <c r="E10" s="243">
        <v>2</v>
      </c>
      <c r="F10" s="251">
        <v>56900</v>
      </c>
      <c r="G10" s="249">
        <f>F10*E10</f>
        <v>113800</v>
      </c>
      <c r="H10" s="265">
        <f>ROUND(G10/1000,1)</f>
        <v>113.8</v>
      </c>
    </row>
    <row r="11" spans="1:13" ht="72">
      <c r="A11" s="160">
        <v>3</v>
      </c>
      <c r="B11" s="437" t="s">
        <v>162</v>
      </c>
      <c r="C11" s="157">
        <v>226</v>
      </c>
      <c r="D11" s="218" t="s">
        <v>587</v>
      </c>
      <c r="E11" s="243">
        <v>10</v>
      </c>
      <c r="F11" s="251">
        <v>1120</v>
      </c>
      <c r="G11" s="249">
        <f>F11*E11</f>
        <v>11200</v>
      </c>
      <c r="H11" s="265">
        <f>ROUND(G11/1000,1)</f>
        <v>11.2</v>
      </c>
    </row>
    <row r="12" spans="1:13">
      <c r="A12" s="1059" t="s">
        <v>633</v>
      </c>
      <c r="B12" s="1059"/>
      <c r="C12" s="1059"/>
      <c r="D12" s="1059"/>
      <c r="E12" s="1059"/>
      <c r="F12" s="1059"/>
      <c r="G12" s="705">
        <f>SUM(G9:G11)</f>
        <v>231100</v>
      </c>
      <c r="H12" s="275">
        <f>SUM(H9:H11)</f>
        <v>231.09999999999997</v>
      </c>
    </row>
    <row r="15" spans="1:13" s="139" customFormat="1">
      <c r="A15" s="992" t="s">
        <v>621</v>
      </c>
      <c r="B15" s="992"/>
      <c r="C15" s="262"/>
      <c r="D15" s="993"/>
      <c r="E15" s="993"/>
      <c r="G15" s="993" t="str">
        <f ca="1">рВДЛ!G29</f>
        <v>М.В. Златова</v>
      </c>
      <c r="H15" s="993"/>
      <c r="J15" s="140"/>
      <c r="K15" s="140"/>
      <c r="L15" s="140"/>
      <c r="M15" s="140"/>
    </row>
    <row r="16" spans="1:13" s="139" customFormat="1">
      <c r="A16" s="1001" t="s">
        <v>554</v>
      </c>
      <c r="B16" s="1001"/>
      <c r="C16" s="262"/>
      <c r="D16" s="1001" t="s">
        <v>555</v>
      </c>
      <c r="E16" s="1001"/>
      <c r="G16" s="1002" t="s">
        <v>556</v>
      </c>
      <c r="H16" s="1002"/>
    </row>
    <row r="17" spans="1:8" s="139" customFormat="1">
      <c r="A17" s="992" t="str">
        <f ca="1">рВДЛ!A31</f>
        <v>Исполнитель: финансист</v>
      </c>
      <c r="B17" s="992"/>
      <c r="C17" s="262"/>
      <c r="D17" s="993"/>
      <c r="E17" s="993"/>
      <c r="G17" s="993" t="str">
        <f ca="1">рВДЛ!G31</f>
        <v>Е.Н. Рыбалка</v>
      </c>
      <c r="H17" s="993"/>
    </row>
    <row r="18" spans="1:8" s="139" customFormat="1">
      <c r="A18" s="1001" t="s">
        <v>554</v>
      </c>
      <c r="B18" s="1001"/>
      <c r="C18" s="262"/>
      <c r="D18" s="1001" t="s">
        <v>555</v>
      </c>
      <c r="E18" s="1001"/>
      <c r="G18" s="1002" t="s">
        <v>556</v>
      </c>
      <c r="H18" s="1002"/>
    </row>
    <row r="19" spans="1:8">
      <c r="F19" s="162"/>
    </row>
    <row r="20" spans="1:8">
      <c r="F20" s="163"/>
    </row>
    <row r="21" spans="1:8">
      <c r="F21" s="162"/>
    </row>
    <row r="22" spans="1:8">
      <c r="F22" s="163"/>
    </row>
  </sheetData>
  <mergeCells count="17">
    <mergeCell ref="D18:E18"/>
    <mergeCell ref="G18:H18"/>
    <mergeCell ref="A18:B18"/>
    <mergeCell ref="A16:B16"/>
    <mergeCell ref="A17:B17"/>
    <mergeCell ref="D16:E16"/>
    <mergeCell ref="G16:H16"/>
    <mergeCell ref="D17:E17"/>
    <mergeCell ref="G17:H17"/>
    <mergeCell ref="A12:F12"/>
    <mergeCell ref="D15:E15"/>
    <mergeCell ref="G15:H15"/>
    <mergeCell ref="A15:B15"/>
    <mergeCell ref="A1:H1"/>
    <mergeCell ref="A6:H6"/>
    <mergeCell ref="A3:G3"/>
    <mergeCell ref="A4:G4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L26"/>
  <sheetViews>
    <sheetView workbookViewId="0">
      <selection activeCell="J17" sqref="J17"/>
    </sheetView>
  </sheetViews>
  <sheetFormatPr defaultColWidth="31.140625" defaultRowHeight="12.75"/>
  <cols>
    <col min="1" max="1" width="31.140625" style="1" customWidth="1"/>
    <col min="2" max="2" width="24.7109375" style="1" customWidth="1"/>
    <col min="3" max="3" width="12.5703125" style="1" customWidth="1"/>
    <col min="4" max="4" width="11" style="1" customWidth="1"/>
    <col min="5" max="5" width="11.28515625" style="1" customWidth="1"/>
    <col min="6" max="8" width="8.28515625" style="1" customWidth="1"/>
    <col min="9" max="9" width="27.140625" style="1" customWidth="1"/>
    <col min="10" max="10" width="10.85546875" style="1" customWidth="1"/>
    <col min="11" max="11" width="36.7109375" style="1" customWidth="1"/>
    <col min="12" max="12" width="10.85546875" style="1" customWidth="1"/>
    <col min="13" max="255" width="9.140625" style="1" customWidth="1"/>
    <col min="256" max="16384" width="31.140625" style="1"/>
  </cols>
  <sheetData>
    <row r="1" spans="1:12">
      <c r="C1" s="914" t="str">
        <f ca="1">Доходы!C1</f>
        <v>К проекту среднесрочного финансового плана</v>
      </c>
      <c r="D1" s="914"/>
      <c r="E1" s="914"/>
    </row>
    <row r="2" spans="1:12">
      <c r="C2" s="98"/>
    </row>
    <row r="3" spans="1:12" ht="15.75">
      <c r="A3" s="915" t="s">
        <v>437</v>
      </c>
      <c r="B3" s="915"/>
      <c r="C3" s="915"/>
      <c r="D3" s="915"/>
      <c r="E3" s="915"/>
    </row>
    <row r="4" spans="1:12" ht="15.75">
      <c r="A4" s="915" t="str">
        <f ca="1">Доходы!A3</f>
        <v>на 2021 год и плановый период 2022-2023 годов</v>
      </c>
      <c r="B4" s="915"/>
      <c r="C4" s="915"/>
      <c r="D4" s="915"/>
      <c r="E4" s="915"/>
    </row>
    <row r="5" spans="1:12" ht="13.5" customHeight="1">
      <c r="A5" s="904" t="str">
        <f ca="1">Доходы!A4</f>
        <v>Единица измерения: тыс. руб.</v>
      </c>
      <c r="B5" s="904"/>
      <c r="C5" s="904"/>
      <c r="D5" s="904"/>
      <c r="E5" s="904"/>
    </row>
    <row r="6" spans="1:12" ht="12.75" customHeight="1">
      <c r="A6" s="916" t="s">
        <v>349</v>
      </c>
      <c r="B6" s="917" t="s">
        <v>438</v>
      </c>
      <c r="C6" s="903" t="str">
        <f ca="1">Доходы!C5</f>
        <v>Очередной 
финансовый
2021 год</v>
      </c>
      <c r="D6" s="903" t="s">
        <v>261</v>
      </c>
      <c r="E6" s="903"/>
    </row>
    <row r="7" spans="1:12" ht="24">
      <c r="A7" s="916"/>
      <c r="B7" s="917"/>
      <c r="C7" s="903"/>
      <c r="D7" s="59" t="str">
        <f ca="1">Доходы!D6</f>
        <v>1-й год, 2022 год</v>
      </c>
      <c r="E7" s="59" t="str">
        <f ca="1">Доходы!E6</f>
        <v>2-й год, 2023 год</v>
      </c>
    </row>
    <row r="8" spans="1:12" ht="38.25">
      <c r="A8" s="99" t="s">
        <v>439</v>
      </c>
      <c r="B8" s="100" t="s">
        <v>440</v>
      </c>
      <c r="C8" s="101">
        <f>C9</f>
        <v>3267.5000000000036</v>
      </c>
      <c r="D8" s="101">
        <f>D9</f>
        <v>-1512.5000000000036</v>
      </c>
      <c r="E8" s="101">
        <f>E9</f>
        <v>-1504.8999999999978</v>
      </c>
      <c r="J8" s="102">
        <v>5224.3999999999978</v>
      </c>
      <c r="K8" s="103" t="s">
        <v>237</v>
      </c>
    </row>
    <row r="9" spans="1:12" ht="25.5">
      <c r="A9" s="15" t="s">
        <v>441</v>
      </c>
      <c r="B9" s="104" t="s">
        <v>442</v>
      </c>
      <c r="C9" s="105">
        <f>C14+C11</f>
        <v>3267.5000000000036</v>
      </c>
      <c r="D9" s="105">
        <f>D14+D11</f>
        <v>-1512.5000000000036</v>
      </c>
      <c r="E9" s="105">
        <f>E14+E11</f>
        <v>-1504.8999999999978</v>
      </c>
      <c r="G9" s="106"/>
      <c r="H9" s="107"/>
      <c r="I9" s="885">
        <f ca="1">C8/Доходы!C8</f>
        <v>0.52467202980233529</v>
      </c>
      <c r="J9" s="108">
        <f>C8</f>
        <v>3267.5000000000036</v>
      </c>
      <c r="K9" s="109" t="s">
        <v>232</v>
      </c>
    </row>
    <row r="10" spans="1:12" ht="25.5">
      <c r="A10" s="15" t="s">
        <v>443</v>
      </c>
      <c r="B10" s="110" t="s">
        <v>444</v>
      </c>
      <c r="C10" s="105">
        <f t="shared" ref="C10:E12" si="0">C11</f>
        <v>-31051.200000000001</v>
      </c>
      <c r="D10" s="105">
        <f t="shared" si="0"/>
        <v>-31244.300000000003</v>
      </c>
      <c r="E10" s="105">
        <f t="shared" si="0"/>
        <v>-29168.799999999999</v>
      </c>
      <c r="J10" s="108">
        <f>J8-J9</f>
        <v>1956.8999999999942</v>
      </c>
      <c r="K10" s="109" t="s">
        <v>946</v>
      </c>
    </row>
    <row r="11" spans="1:12" ht="25.5">
      <c r="A11" s="15" t="s">
        <v>445</v>
      </c>
      <c r="B11" s="110" t="s">
        <v>446</v>
      </c>
      <c r="C11" s="105">
        <f t="shared" si="0"/>
        <v>-31051.200000000001</v>
      </c>
      <c r="D11" s="105">
        <f t="shared" si="0"/>
        <v>-31244.300000000003</v>
      </c>
      <c r="E11" s="105">
        <f t="shared" si="0"/>
        <v>-29168.799999999999</v>
      </c>
      <c r="J11" s="106"/>
      <c r="K11" s="111"/>
    </row>
    <row r="12" spans="1:12" ht="25.5">
      <c r="A12" s="15" t="s">
        <v>447</v>
      </c>
      <c r="B12" s="110" t="s">
        <v>448</v>
      </c>
      <c r="C12" s="105">
        <f t="shared" si="0"/>
        <v>-31051.200000000001</v>
      </c>
      <c r="D12" s="105">
        <f t="shared" si="0"/>
        <v>-31244.300000000003</v>
      </c>
      <c r="E12" s="105">
        <f t="shared" si="0"/>
        <v>-29168.799999999999</v>
      </c>
    </row>
    <row r="13" spans="1:12" ht="38.25">
      <c r="A13" s="15" t="s">
        <v>449</v>
      </c>
      <c r="B13" s="110" t="s">
        <v>450</v>
      </c>
      <c r="C13" s="105">
        <f ca="1">-Доходы!C7</f>
        <v>-31051.200000000001</v>
      </c>
      <c r="D13" s="105">
        <f ca="1">-Доходы!D7</f>
        <v>-31244.300000000003</v>
      </c>
      <c r="E13" s="105">
        <f ca="1">-Доходы!E7</f>
        <v>-29168.799999999999</v>
      </c>
      <c r="J13" s="112"/>
      <c r="K13" s="111"/>
      <c r="L13" s="111"/>
    </row>
    <row r="14" spans="1:12" ht="25.5">
      <c r="A14" s="15" t="s">
        <v>451</v>
      </c>
      <c r="B14" s="110" t="s">
        <v>452</v>
      </c>
      <c r="C14" s="105">
        <f t="shared" ref="C14:E16" si="1">C15</f>
        <v>34318.700000000004</v>
      </c>
      <c r="D14" s="105">
        <f t="shared" si="1"/>
        <v>29731.8</v>
      </c>
      <c r="E14" s="105">
        <f t="shared" si="1"/>
        <v>27663.9</v>
      </c>
      <c r="I14" s="801" t="s">
        <v>70</v>
      </c>
      <c r="J14" s="802"/>
      <c r="K14" s="806" t="s">
        <v>238</v>
      </c>
      <c r="L14" s="807">
        <v>0.21099999999999999</v>
      </c>
    </row>
    <row r="15" spans="1:12" ht="25.5">
      <c r="A15" s="15" t="s">
        <v>453</v>
      </c>
      <c r="B15" s="110" t="s">
        <v>454</v>
      </c>
      <c r="C15" s="105">
        <f t="shared" si="1"/>
        <v>34318.700000000004</v>
      </c>
      <c r="D15" s="105">
        <f t="shared" si="1"/>
        <v>29731.8</v>
      </c>
      <c r="E15" s="105">
        <f t="shared" si="1"/>
        <v>27663.9</v>
      </c>
      <c r="I15" s="801" t="s">
        <v>71</v>
      </c>
      <c r="J15" s="803">
        <f ca="1">Доходы!C8+Доходы!C49</f>
        <v>18557.399999999998</v>
      </c>
      <c r="K15" s="808" t="s">
        <v>71</v>
      </c>
      <c r="L15" s="809">
        <f ca="1">Доходы!C8+Доходы!C49</f>
        <v>18557.399999999998</v>
      </c>
    </row>
    <row r="16" spans="1:12" ht="25.5">
      <c r="A16" s="15" t="s">
        <v>455</v>
      </c>
      <c r="B16" s="110" t="s">
        <v>456</v>
      </c>
      <c r="C16" s="105">
        <f t="shared" si="1"/>
        <v>34318.700000000004</v>
      </c>
      <c r="D16" s="105">
        <f t="shared" si="1"/>
        <v>29731.8</v>
      </c>
      <c r="E16" s="105">
        <f t="shared" si="1"/>
        <v>27663.9</v>
      </c>
      <c r="I16" s="801" t="s">
        <v>72</v>
      </c>
      <c r="J16" s="803">
        <f>ROUND((J15*J14),1)</f>
        <v>0</v>
      </c>
      <c r="K16" s="808" t="s">
        <v>72</v>
      </c>
      <c r="L16" s="809">
        <f>ROUND((L15*L14),1)</f>
        <v>3915.6</v>
      </c>
    </row>
    <row r="17" spans="1:12" ht="38.25">
      <c r="A17" s="15" t="s">
        <v>457</v>
      </c>
      <c r="B17" s="110" t="s">
        <v>458</v>
      </c>
      <c r="C17" s="113">
        <f ca="1">Расходы!G9</f>
        <v>34318.700000000004</v>
      </c>
      <c r="D17" s="113">
        <f ca="1">Расходы!H9</f>
        <v>29731.8</v>
      </c>
      <c r="E17" s="113">
        <f ca="1">Расходы!I9</f>
        <v>27663.9</v>
      </c>
      <c r="I17" s="804" t="s">
        <v>75</v>
      </c>
      <c r="J17" s="803">
        <f ca="1">сВДЛ!H66+сДеп!H66+сЗП!H66+сАУП!H67</f>
        <v>14148.6</v>
      </c>
      <c r="K17" s="810" t="s">
        <v>76</v>
      </c>
      <c r="L17" s="809">
        <f ca="1">рВДЛ!G9+рЗП!G9</f>
        <v>3568.5999999999995</v>
      </c>
    </row>
    <row r="18" spans="1:12">
      <c r="A18" s="114"/>
      <c r="B18" s="115"/>
      <c r="C18" s="115"/>
      <c r="D18" s="115"/>
      <c r="E18" s="115"/>
      <c r="I18" s="801"/>
      <c r="J18" s="805" t="b">
        <f>J16&gt;J17</f>
        <v>0</v>
      </c>
      <c r="K18" s="808"/>
      <c r="L18" s="811" t="b">
        <f>L16&gt;L17</f>
        <v>1</v>
      </c>
    </row>
    <row r="19" spans="1:12">
      <c r="A19" s="116"/>
      <c r="D19" s="115"/>
      <c r="E19" s="115"/>
      <c r="I19" s="801"/>
      <c r="J19" s="882">
        <f>J17/J15</f>
        <v>0.7624236153771542</v>
      </c>
      <c r="K19" s="808"/>
      <c r="L19" s="883">
        <f>L17/L15</f>
        <v>0.1923006455645726</v>
      </c>
    </row>
    <row r="20" spans="1:12">
      <c r="A20" s="117"/>
      <c r="B20" s="115"/>
      <c r="C20" s="115"/>
      <c r="D20" s="115"/>
      <c r="E20" s="115"/>
      <c r="I20" s="801"/>
    </row>
    <row r="21" spans="1:12">
      <c r="A21" s="117"/>
      <c r="B21" s="115"/>
      <c r="C21" s="115"/>
      <c r="D21" s="115"/>
      <c r="E21" s="115"/>
    </row>
    <row r="22" spans="1:12">
      <c r="A22" s="114"/>
      <c r="B22" s="115"/>
      <c r="C22" s="115"/>
      <c r="D22" s="115"/>
      <c r="E22" s="115"/>
    </row>
    <row r="23" spans="1:12">
      <c r="A23" s="117"/>
      <c r="B23" s="115"/>
      <c r="C23" s="115"/>
      <c r="D23" s="115"/>
      <c r="E23" s="115"/>
    </row>
    <row r="24" spans="1:12">
      <c r="A24" s="111"/>
      <c r="B24" s="115"/>
      <c r="C24" s="115"/>
      <c r="D24" s="115"/>
      <c r="E24" s="115"/>
    </row>
    <row r="25" spans="1:12">
      <c r="A25" s="114"/>
      <c r="B25" s="115"/>
      <c r="C25" s="115"/>
      <c r="D25" s="115"/>
      <c r="E25" s="115"/>
    </row>
    <row r="26" spans="1:12">
      <c r="A26" s="114"/>
      <c r="B26" s="115"/>
      <c r="C26" s="115"/>
      <c r="D26" s="115"/>
      <c r="E26" s="115"/>
    </row>
  </sheetData>
  <mergeCells count="8">
    <mergeCell ref="C1:E1"/>
    <mergeCell ref="A3:E3"/>
    <mergeCell ref="A4:E4"/>
    <mergeCell ref="A6:A7"/>
    <mergeCell ref="B6:B7"/>
    <mergeCell ref="C6:C7"/>
    <mergeCell ref="D6:E6"/>
    <mergeCell ref="A5:E5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8"/>
  <sheetViews>
    <sheetView showZeros="0" topLeftCell="A43" workbookViewId="0">
      <selection activeCell="H67" sqref="H67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471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54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54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54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54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54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55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55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56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5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5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58"/>
    </row>
    <row r="12" spans="1:9" s="170" customFormat="1">
      <c r="A12" s="1041" t="s">
        <v>419</v>
      </c>
      <c r="B12" s="1041"/>
      <c r="C12" s="1041"/>
      <c r="D12" s="1041"/>
      <c r="E12" s="1041"/>
      <c r="F12" s="1041"/>
      <c r="G12" s="1041"/>
      <c r="H12" s="1041"/>
      <c r="I12" s="471"/>
    </row>
    <row r="13" spans="1:9" s="170" customFormat="1" ht="6" customHeight="1">
      <c r="E13" s="722"/>
      <c r="F13" s="722"/>
      <c r="G13" s="722"/>
      <c r="H13" s="722"/>
      <c r="I13" s="471"/>
    </row>
    <row r="14" spans="1:9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471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47"/>
    </row>
    <row r="16" spans="1:9">
      <c r="A16" s="512" t="s">
        <v>852</v>
      </c>
      <c r="B16" s="529" t="s">
        <v>377</v>
      </c>
      <c r="C16" s="529" t="s">
        <v>414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10346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733"/>
      <c r="F23" s="508">
        <v>214</v>
      </c>
      <c r="G23" s="508">
        <v>831</v>
      </c>
      <c r="H23" s="264"/>
    </row>
    <row r="24" spans="1:8">
      <c r="A24" s="513" t="s">
        <v>857</v>
      </c>
      <c r="B24" s="726" t="s">
        <v>377</v>
      </c>
      <c r="C24" s="726" t="s">
        <v>414</v>
      </c>
      <c r="D24" s="726" t="s">
        <v>708</v>
      </c>
      <c r="E24" s="726" t="s">
        <v>375</v>
      </c>
      <c r="F24" s="506">
        <v>220</v>
      </c>
      <c r="G24" s="506"/>
      <c r="H24" s="727">
        <f>H25+H26+H28+H32+H36</f>
        <v>10346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8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8">
      <c r="A32" s="514" t="s">
        <v>859</v>
      </c>
      <c r="B32" s="728" t="s">
        <v>377</v>
      </c>
      <c r="C32" s="728" t="s">
        <v>414</v>
      </c>
      <c r="D32" s="728" t="s">
        <v>708</v>
      </c>
      <c r="E32" s="728" t="s">
        <v>640</v>
      </c>
      <c r="F32" s="507">
        <v>225</v>
      </c>
      <c r="G32" s="507"/>
      <c r="H32" s="730">
        <f>SUM(H33:H35)</f>
        <v>10346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 t="s">
        <v>377</v>
      </c>
      <c r="C34" s="732" t="s">
        <v>414</v>
      </c>
      <c r="D34" s="732" t="s">
        <v>708</v>
      </c>
      <c r="E34" s="732" t="s">
        <v>640</v>
      </c>
      <c r="F34" s="508">
        <v>225</v>
      </c>
      <c r="G34" s="508" t="s">
        <v>583</v>
      </c>
      <c r="H34" s="264">
        <f ca="1">рДороги!H11+рДороги!H23</f>
        <v>10346</v>
      </c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>SUM(H37:H43)</f>
        <v>0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59"/>
    </row>
    <row r="38" spans="1:9">
      <c r="A38" s="515" t="s">
        <v>586</v>
      </c>
      <c r="B38" s="732"/>
      <c r="C38" s="732"/>
      <c r="D38" s="732"/>
      <c r="E38" s="732"/>
      <c r="F38" s="508">
        <v>226</v>
      </c>
      <c r="G38" s="508" t="s">
        <v>587</v>
      </c>
      <c r="H38" s="264"/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733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737"/>
      <c r="C48" s="737"/>
      <c r="D48" s="737"/>
      <c r="E48" s="731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9">
      <c r="A65" s="517" t="s">
        <v>710</v>
      </c>
      <c r="B65" s="728" t="s">
        <v>377</v>
      </c>
      <c r="C65" s="728" t="s">
        <v>414</v>
      </c>
      <c r="D65" s="728" t="s">
        <v>203</v>
      </c>
      <c r="E65" s="728" t="s">
        <v>375</v>
      </c>
      <c r="F65" s="511"/>
      <c r="G65" s="511"/>
      <c r="H65" s="730">
        <f ca="1">рДороги!H11</f>
        <v>4224.6000000000004</v>
      </c>
    </row>
    <row r="66" spans="1:9">
      <c r="A66" s="517" t="s">
        <v>710</v>
      </c>
      <c r="B66" s="728" t="s">
        <v>377</v>
      </c>
      <c r="C66" s="728" t="s">
        <v>414</v>
      </c>
      <c r="D66" s="728" t="s">
        <v>422</v>
      </c>
      <c r="E66" s="728" t="s">
        <v>375</v>
      </c>
      <c r="F66" s="511"/>
      <c r="G66" s="511"/>
      <c r="H66" s="730">
        <f ca="1">рДороги!J23</f>
        <v>6121.3</v>
      </c>
    </row>
    <row r="67" spans="1:9">
      <c r="A67" s="519" t="s">
        <v>602</v>
      </c>
      <c r="B67" s="728" t="s">
        <v>377</v>
      </c>
      <c r="C67" s="728" t="s">
        <v>414</v>
      </c>
      <c r="D67" s="728" t="s">
        <v>708</v>
      </c>
      <c r="E67" s="728" t="s">
        <v>570</v>
      </c>
      <c r="F67" s="518"/>
      <c r="G67" s="518"/>
      <c r="H67" s="730">
        <f>H59+H16</f>
        <v>10346</v>
      </c>
      <c r="I67" s="471">
        <f>SUM(I16:I64)</f>
        <v>0</v>
      </c>
    </row>
    <row r="68" spans="1:9">
      <c r="A68" s="742"/>
      <c r="B68" s="743"/>
      <c r="C68" s="743"/>
      <c r="D68" s="743"/>
      <c r="E68" s="743"/>
      <c r="F68" s="743"/>
      <c r="G68" s="743"/>
      <c r="H68" s="744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92D050"/>
  </sheetPr>
  <dimension ref="A1:P36"/>
  <sheetViews>
    <sheetView topLeftCell="A16" workbookViewId="0">
      <selection activeCell="J23" sqref="J23"/>
    </sheetView>
  </sheetViews>
  <sheetFormatPr defaultColWidth="8.7109375" defaultRowHeight="15"/>
  <cols>
    <col min="1" max="1" width="4" style="669" customWidth="1"/>
    <col min="2" max="2" width="28.5703125" style="669" customWidth="1"/>
    <col min="3" max="4" width="6.85546875" style="669" customWidth="1"/>
    <col min="5" max="5" width="13.42578125" style="669" customWidth="1"/>
    <col min="6" max="6" width="11.140625" style="669" customWidth="1"/>
    <col min="7" max="7" width="11.7109375" style="669" customWidth="1"/>
    <col min="8" max="8" width="11.5703125" style="669" customWidth="1"/>
    <col min="9" max="9" width="12.5703125" style="669" customWidth="1"/>
    <col min="10" max="11" width="15.85546875" style="669" customWidth="1"/>
    <col min="12" max="12" width="10" style="669" bestFit="1" customWidth="1"/>
    <col min="13" max="252" width="9.140625" style="669" customWidth="1"/>
    <col min="253" max="253" width="4" style="669" customWidth="1"/>
    <col min="254" max="254" width="10.5703125" style="669" customWidth="1"/>
    <col min="255" max="255" width="11.140625" style="669" customWidth="1"/>
    <col min="256" max="16384" width="8.7109375" style="669"/>
  </cols>
  <sheetData>
    <row r="1" spans="1:16" ht="15" customHeight="1">
      <c r="A1" s="988" t="s">
        <v>419</v>
      </c>
      <c r="B1" s="988"/>
      <c r="C1" s="988"/>
      <c r="D1" s="988"/>
      <c r="E1" s="988"/>
      <c r="F1" s="988"/>
      <c r="G1" s="988"/>
      <c r="H1" s="988"/>
    </row>
    <row r="3" spans="1:16" ht="15.75">
      <c r="A3" s="1003" t="s">
        <v>609</v>
      </c>
      <c r="B3" s="1003"/>
      <c r="C3" s="1003"/>
      <c r="D3" s="1003"/>
      <c r="E3" s="1003"/>
      <c r="F3" s="1003"/>
      <c r="G3" s="1003"/>
      <c r="H3" s="1003"/>
    </row>
    <row r="4" spans="1:16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</row>
    <row r="5" spans="1:16" ht="15" customHeight="1">
      <c r="A5" s="186"/>
      <c r="B5" s="186"/>
      <c r="C5" s="186"/>
      <c r="D5" s="186"/>
      <c r="E5" s="186"/>
      <c r="F5" s="186"/>
      <c r="G5" s="186"/>
      <c r="H5" s="188"/>
    </row>
    <row r="6" spans="1:16" ht="15" customHeight="1">
      <c r="A6" s="1041" t="s">
        <v>176</v>
      </c>
      <c r="B6" s="1041"/>
      <c r="C6" s="1041"/>
      <c r="D6" s="1041"/>
      <c r="E6" s="1041"/>
      <c r="F6" s="1041"/>
      <c r="G6" s="1041"/>
      <c r="H6" s="1041"/>
      <c r="J6" s="700"/>
      <c r="K6" s="700"/>
      <c r="L6" s="700"/>
      <c r="M6" s="700"/>
      <c r="N6" s="700"/>
      <c r="O6" s="700"/>
      <c r="P6" s="700"/>
    </row>
    <row r="7" spans="1:16">
      <c r="A7" s="994" t="s">
        <v>733</v>
      </c>
      <c r="B7" s="994"/>
      <c r="C7" s="994"/>
      <c r="D7" s="994"/>
      <c r="E7" s="994"/>
      <c r="F7" s="994"/>
      <c r="G7" s="994"/>
      <c r="H7" s="994"/>
    </row>
    <row r="8" spans="1:16" ht="24" customHeight="1">
      <c r="A8" s="157" t="s">
        <v>483</v>
      </c>
      <c r="B8" s="184" t="s">
        <v>715</v>
      </c>
      <c r="C8" s="154" t="s">
        <v>568</v>
      </c>
      <c r="D8" s="184" t="s">
        <v>614</v>
      </c>
      <c r="E8" s="184" t="s">
        <v>734</v>
      </c>
      <c r="F8" s="157" t="s">
        <v>735</v>
      </c>
      <c r="G8" s="268" t="s">
        <v>690</v>
      </c>
      <c r="H8" s="157" t="s">
        <v>626</v>
      </c>
    </row>
    <row r="9" spans="1:16">
      <c r="A9" s="160">
        <v>1</v>
      </c>
      <c r="B9" s="242">
        <v>2</v>
      </c>
      <c r="C9" s="160">
        <v>3</v>
      </c>
      <c r="D9" s="242">
        <v>4</v>
      </c>
      <c r="E9" s="242">
        <v>5</v>
      </c>
      <c r="F9" s="160">
        <v>6</v>
      </c>
      <c r="G9" s="269">
        <v>7</v>
      </c>
      <c r="H9" s="160">
        <v>8</v>
      </c>
    </row>
    <row r="10" spans="1:16" ht="55.5" customHeight="1">
      <c r="A10" s="160">
        <v>1</v>
      </c>
      <c r="B10" s="647" t="s">
        <v>737</v>
      </c>
      <c r="C10" s="157">
        <v>225</v>
      </c>
      <c r="D10" s="283" t="s">
        <v>583</v>
      </c>
      <c r="E10" s="650" t="s">
        <v>736</v>
      </c>
      <c r="F10" s="251">
        <f>4224600</f>
        <v>4224600</v>
      </c>
      <c r="G10" s="274">
        <f>F10</f>
        <v>4224600</v>
      </c>
      <c r="H10" s="284">
        <f>ROUND(G10/1000,1)</f>
        <v>4224.6000000000004</v>
      </c>
      <c r="I10" s="888" t="s">
        <v>249</v>
      </c>
      <c r="J10" s="888" t="s">
        <v>250</v>
      </c>
      <c r="K10" s="669">
        <v>4224.6000000000004</v>
      </c>
    </row>
    <row r="11" spans="1:16">
      <c r="A11" s="999" t="s">
        <v>671</v>
      </c>
      <c r="B11" s="1000"/>
      <c r="C11" s="1000"/>
      <c r="D11" s="1000"/>
      <c r="E11" s="1000"/>
      <c r="F11" s="1099"/>
      <c r="G11" s="706">
        <f>SUM(G10:G10)</f>
        <v>4224600</v>
      </c>
      <c r="H11" s="285">
        <f>SUM(H10:H10)</f>
        <v>4224.6000000000004</v>
      </c>
    </row>
    <row r="13" spans="1:16">
      <c r="A13" s="1041" t="s">
        <v>49</v>
      </c>
      <c r="B13" s="1041"/>
      <c r="C13" s="1041"/>
      <c r="D13" s="1041"/>
      <c r="E13" s="1041"/>
      <c r="F13" s="1041"/>
      <c r="G13" s="1041"/>
      <c r="H13" s="1041"/>
    </row>
    <row r="14" spans="1:16">
      <c r="A14" s="994" t="s">
        <v>733</v>
      </c>
      <c r="B14" s="994"/>
      <c r="C14" s="994"/>
      <c r="D14" s="994"/>
      <c r="E14" s="994"/>
      <c r="F14" s="994"/>
      <c r="G14" s="994"/>
      <c r="H14" s="994"/>
    </row>
    <row r="15" spans="1:16" ht="24" customHeight="1">
      <c r="A15" s="157" t="s">
        <v>483</v>
      </c>
      <c r="B15" s="184" t="s">
        <v>715</v>
      </c>
      <c r="C15" s="154" t="s">
        <v>568</v>
      </c>
      <c r="D15" s="184" t="s">
        <v>614</v>
      </c>
      <c r="E15" s="184" t="s">
        <v>734</v>
      </c>
      <c r="F15" s="157" t="s">
        <v>738</v>
      </c>
      <c r="G15" s="268" t="s">
        <v>690</v>
      </c>
      <c r="H15" s="157" t="s">
        <v>626</v>
      </c>
    </row>
    <row r="16" spans="1:16">
      <c r="A16" s="160">
        <v>1</v>
      </c>
      <c r="B16" s="242">
        <v>2</v>
      </c>
      <c r="C16" s="160">
        <v>3</v>
      </c>
      <c r="D16" s="242">
        <v>4</v>
      </c>
      <c r="E16" s="242">
        <v>5</v>
      </c>
      <c r="F16" s="160">
        <v>6</v>
      </c>
      <c r="G16" s="269">
        <v>7</v>
      </c>
      <c r="H16" s="160">
        <v>8</v>
      </c>
    </row>
    <row r="17" spans="1:13" ht="30" customHeight="1">
      <c r="A17" s="160">
        <v>1</v>
      </c>
      <c r="B17" s="647" t="s">
        <v>740</v>
      </c>
      <c r="C17" s="157">
        <v>225</v>
      </c>
      <c r="D17" s="283" t="s">
        <v>583</v>
      </c>
      <c r="E17" s="650" t="s">
        <v>736</v>
      </c>
      <c r="F17" s="251">
        <f>SUM(F18:F21)</f>
        <v>2070982.5899999999</v>
      </c>
      <c r="G17" s="399">
        <f t="shared" ref="G17:G22" si="0">F17</f>
        <v>2070982.5899999999</v>
      </c>
      <c r="H17" s="400">
        <f>SUM(H18:H21)</f>
        <v>2071</v>
      </c>
      <c r="J17" s="577"/>
    </row>
    <row r="18" spans="1:13" ht="90">
      <c r="A18" s="160"/>
      <c r="B18" s="648" t="s">
        <v>274</v>
      </c>
      <c r="C18" s="157"/>
      <c r="D18" s="283"/>
      <c r="E18" s="650"/>
      <c r="F18" s="251">
        <v>954688.41</v>
      </c>
      <c r="G18" s="274">
        <f t="shared" si="0"/>
        <v>954688.41</v>
      </c>
      <c r="H18" s="284">
        <f>ROUND(G18/1000,1)</f>
        <v>954.7</v>
      </c>
      <c r="J18" s="578"/>
    </row>
    <row r="19" spans="1:13" ht="112.5">
      <c r="A19" s="160"/>
      <c r="B19" s="648" t="s">
        <v>276</v>
      </c>
      <c r="C19" s="157"/>
      <c r="D19" s="283"/>
      <c r="E19" s="650"/>
      <c r="F19" s="251">
        <v>4790.83</v>
      </c>
      <c r="G19" s="274">
        <f t="shared" si="0"/>
        <v>4790.83</v>
      </c>
      <c r="H19" s="284">
        <f>ROUND(G19/1000,1)</f>
        <v>4.8</v>
      </c>
      <c r="I19" s="481"/>
      <c r="J19" s="578"/>
    </row>
    <row r="20" spans="1:13" ht="90">
      <c r="A20" s="160"/>
      <c r="B20" s="648" t="s">
        <v>278</v>
      </c>
      <c r="C20" s="157"/>
      <c r="D20" s="283"/>
      <c r="E20" s="650"/>
      <c r="F20" s="251">
        <v>1243529.18</v>
      </c>
      <c r="G20" s="274">
        <f t="shared" si="0"/>
        <v>1243529.18</v>
      </c>
      <c r="H20" s="284">
        <f>ROUND(G20/1000,1)</f>
        <v>1243.5</v>
      </c>
      <c r="J20" s="578"/>
    </row>
    <row r="21" spans="1:13" ht="90">
      <c r="A21" s="160"/>
      <c r="B21" s="648" t="s">
        <v>279</v>
      </c>
      <c r="C21" s="157"/>
      <c r="D21" s="283"/>
      <c r="E21" s="650"/>
      <c r="F21" s="251">
        <v>-132025.82999999999</v>
      </c>
      <c r="G21" s="274">
        <f t="shared" si="0"/>
        <v>-132025.82999999999</v>
      </c>
      <c r="H21" s="284">
        <f>ROUND(G21/1000,1)</f>
        <v>-132</v>
      </c>
      <c r="J21" s="578"/>
    </row>
    <row r="22" spans="1:13" ht="30" customHeight="1">
      <c r="A22" s="160">
        <v>2</v>
      </c>
      <c r="B22" s="647" t="s">
        <v>739</v>
      </c>
      <c r="C22" s="157">
        <v>225</v>
      </c>
      <c r="D22" s="283" t="s">
        <v>583</v>
      </c>
      <c r="E22" s="650" t="s">
        <v>736</v>
      </c>
      <c r="F22" s="251">
        <v>4050399.64</v>
      </c>
      <c r="G22" s="399">
        <f t="shared" si="0"/>
        <v>4050399.64</v>
      </c>
      <c r="H22" s="400">
        <f>ROUND(G22/1000,1)</f>
        <v>4050.4</v>
      </c>
      <c r="K22" s="666"/>
      <c r="L22" s="799"/>
      <c r="M22" s="799"/>
    </row>
    <row r="23" spans="1:13">
      <c r="A23" s="999" t="s">
        <v>671</v>
      </c>
      <c r="B23" s="1000"/>
      <c r="C23" s="1000"/>
      <c r="D23" s="1000"/>
      <c r="E23" s="1000"/>
      <c r="F23" s="1099"/>
      <c r="G23" s="706">
        <f>G17+G22</f>
        <v>6121382.2300000004</v>
      </c>
      <c r="H23" s="285">
        <f>H17+H22</f>
        <v>6121.4</v>
      </c>
      <c r="J23" s="470">
        <v>6121.3</v>
      </c>
      <c r="K23" s="691"/>
    </row>
    <row r="24" spans="1:13">
      <c r="K24" s="691"/>
    </row>
    <row r="25" spans="1:13">
      <c r="K25" s="793">
        <f>4586372.06-535972.42</f>
        <v>4050399.6399999997</v>
      </c>
      <c r="L25" s="859" t="s">
        <v>167</v>
      </c>
    </row>
    <row r="26" spans="1:13">
      <c r="A26" s="992" t="s">
        <v>621</v>
      </c>
      <c r="B26" s="992"/>
      <c r="D26" s="993"/>
      <c r="E26" s="993"/>
      <c r="G26" s="993" t="str">
        <f ca="1">рВДЛ!G29</f>
        <v>М.В. Златова</v>
      </c>
      <c r="H26" s="993"/>
    </row>
    <row r="27" spans="1:13">
      <c r="A27" s="1001" t="s">
        <v>554</v>
      </c>
      <c r="B27" s="1001"/>
      <c r="D27" s="1001" t="s">
        <v>555</v>
      </c>
      <c r="E27" s="1001"/>
      <c r="G27" s="1002" t="s">
        <v>556</v>
      </c>
      <c r="H27" s="1002"/>
      <c r="K27" s="691"/>
    </row>
    <row r="28" spans="1:13">
      <c r="A28" s="992" t="str">
        <f ca="1">рВДЛ!A31</f>
        <v>Исполнитель: финансист</v>
      </c>
      <c r="B28" s="992"/>
      <c r="D28" s="993"/>
      <c r="E28" s="993"/>
      <c r="G28" s="993" t="str">
        <f ca="1">рВДЛ!G31</f>
        <v>Е.Н. Рыбалка</v>
      </c>
      <c r="H28" s="993"/>
    </row>
    <row r="29" spans="1:13">
      <c r="A29" s="1001" t="s">
        <v>554</v>
      </c>
      <c r="B29" s="1001"/>
      <c r="D29" s="1001" t="s">
        <v>555</v>
      </c>
      <c r="E29" s="1001"/>
      <c r="G29" s="1002" t="s">
        <v>556</v>
      </c>
      <c r="H29" s="1002"/>
    </row>
    <row r="33" spans="7:8">
      <c r="G33" s="691"/>
    </row>
    <row r="36" spans="7:8">
      <c r="G36" s="281"/>
      <c r="H36" s="282"/>
    </row>
  </sheetData>
  <mergeCells count="21">
    <mergeCell ref="A1:H1"/>
    <mergeCell ref="A7:H7"/>
    <mergeCell ref="A4:H4"/>
    <mergeCell ref="A3:H3"/>
    <mergeCell ref="D28:E28"/>
    <mergeCell ref="D26:E26"/>
    <mergeCell ref="G26:H26"/>
    <mergeCell ref="A11:F11"/>
    <mergeCell ref="A14:H14"/>
    <mergeCell ref="A6:H6"/>
    <mergeCell ref="A13:H13"/>
    <mergeCell ref="A27:B27"/>
    <mergeCell ref="D27:E27"/>
    <mergeCell ref="G27:H27"/>
    <mergeCell ref="A23:F23"/>
    <mergeCell ref="G28:H28"/>
    <mergeCell ref="A29:B29"/>
    <mergeCell ref="D29:E29"/>
    <mergeCell ref="G29:H29"/>
    <mergeCell ref="A26:B26"/>
    <mergeCell ref="A28:B28"/>
  </mergeCells>
  <phoneticPr fontId="0" type="noConversion"/>
  <pageMargins left="0.7" right="0.7" top="0.75" bottom="0.75" header="0.3" footer="0.3"/>
  <pageSetup paperSize="9" orientation="portrait" verticalDpi="0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J69"/>
  <sheetViews>
    <sheetView showZeros="0" topLeftCell="A37" workbookViewId="0">
      <selection activeCell="J66" sqref="J66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471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60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60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60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60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60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61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55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56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5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5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58"/>
    </row>
    <row r="12" spans="1:9" s="170" customFormat="1">
      <c r="A12" s="1041" t="s">
        <v>419</v>
      </c>
      <c r="B12" s="1041"/>
      <c r="C12" s="1041"/>
      <c r="D12" s="1041"/>
      <c r="E12" s="1041"/>
      <c r="F12" s="1041"/>
      <c r="G12" s="1041"/>
      <c r="H12" s="1041"/>
      <c r="I12" s="762"/>
    </row>
    <row r="13" spans="1:9" s="170" customFormat="1" ht="6" customHeight="1">
      <c r="E13" s="722"/>
      <c r="F13" s="722"/>
      <c r="G13" s="722"/>
      <c r="H13" s="722"/>
      <c r="I13" s="762"/>
    </row>
    <row r="14" spans="1:9" s="170" customFormat="1" ht="12.75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762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25"/>
    </row>
    <row r="16" spans="1:9">
      <c r="A16" s="512" t="s">
        <v>852</v>
      </c>
      <c r="B16" s="728" t="s">
        <v>377</v>
      </c>
      <c r="C16" s="728" t="s">
        <v>424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150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733"/>
      <c r="F23" s="508">
        <v>214</v>
      </c>
      <c r="G23" s="508">
        <v>831</v>
      </c>
      <c r="H23" s="264"/>
    </row>
    <row r="24" spans="1:8">
      <c r="A24" s="513" t="s">
        <v>857</v>
      </c>
      <c r="B24" s="726" t="s">
        <v>377</v>
      </c>
      <c r="C24" s="726" t="s">
        <v>424</v>
      </c>
      <c r="D24" s="726" t="s">
        <v>708</v>
      </c>
      <c r="E24" s="726" t="s">
        <v>375</v>
      </c>
      <c r="F24" s="506">
        <v>220</v>
      </c>
      <c r="G24" s="506"/>
      <c r="H24" s="727">
        <f>H25+H26+H28+H32+H36</f>
        <v>150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8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8">
      <c r="A32" s="514" t="s">
        <v>859</v>
      </c>
      <c r="B32" s="728"/>
      <c r="C32" s="728"/>
      <c r="D32" s="728"/>
      <c r="E32" s="728"/>
      <c r="F32" s="507">
        <v>225</v>
      </c>
      <c r="G32" s="507"/>
      <c r="H32" s="730">
        <f>SUM(H33:H35)</f>
        <v>0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/>
      <c r="C34" s="732"/>
      <c r="D34" s="732"/>
      <c r="E34" s="732"/>
      <c r="F34" s="508">
        <v>225</v>
      </c>
      <c r="G34" s="508" t="s">
        <v>583</v>
      </c>
      <c r="H34" s="264"/>
      <c r="I34" s="762"/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 t="s">
        <v>377</v>
      </c>
      <c r="C36" s="728" t="s">
        <v>424</v>
      </c>
      <c r="D36" s="728" t="s">
        <v>878</v>
      </c>
      <c r="E36" s="728" t="s">
        <v>640</v>
      </c>
      <c r="F36" s="507" t="s">
        <v>575</v>
      </c>
      <c r="G36" s="507"/>
      <c r="H36" s="730">
        <f>SUM(H37:H43)</f>
        <v>150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63"/>
    </row>
    <row r="38" spans="1:9">
      <c r="A38" s="515" t="s">
        <v>586</v>
      </c>
      <c r="B38" s="732" t="s">
        <v>377</v>
      </c>
      <c r="C38" s="732" t="s">
        <v>424</v>
      </c>
      <c r="D38" s="732" t="s">
        <v>878</v>
      </c>
      <c r="E38" s="408" t="s">
        <v>640</v>
      </c>
      <c r="F38" s="508">
        <v>226</v>
      </c>
      <c r="G38" s="508" t="s">
        <v>587</v>
      </c>
      <c r="H38" s="264">
        <f ca="1">рНацЭкон!H11</f>
        <v>150</v>
      </c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408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  <c r="I46" s="762"/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737"/>
      <c r="C48" s="737"/>
      <c r="D48" s="737"/>
      <c r="E48" s="731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 t="s">
        <v>377</v>
      </c>
      <c r="C52" s="737" t="s">
        <v>424</v>
      </c>
      <c r="D52" s="737" t="s">
        <v>708</v>
      </c>
      <c r="E52" s="737" t="s">
        <v>958</v>
      </c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28"/>
      <c r="E57" s="731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10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 t="s">
        <v>377</v>
      </c>
      <c r="C64" s="728" t="s">
        <v>424</v>
      </c>
      <c r="D64" s="728" t="s">
        <v>957</v>
      </c>
      <c r="E64" s="728" t="s">
        <v>640</v>
      </c>
      <c r="F64" s="511">
        <v>349</v>
      </c>
      <c r="G64" s="511"/>
      <c r="H64" s="730">
        <f ca="1">рНацЭкон!H18</f>
        <v>10</v>
      </c>
    </row>
    <row r="65" spans="1:10">
      <c r="A65" s="517" t="s">
        <v>710</v>
      </c>
      <c r="B65" s="728" t="s">
        <v>377</v>
      </c>
      <c r="C65" s="728" t="s">
        <v>424</v>
      </c>
      <c r="D65" s="728" t="s">
        <v>878</v>
      </c>
      <c r="E65" s="728" t="s">
        <v>375</v>
      </c>
      <c r="F65" s="511"/>
      <c r="G65" s="511"/>
      <c r="H65" s="730">
        <f>H38</f>
        <v>150</v>
      </c>
    </row>
    <row r="66" spans="1:10">
      <c r="A66" s="517" t="s">
        <v>710</v>
      </c>
      <c r="B66" s="728" t="s">
        <v>377</v>
      </c>
      <c r="C66" s="728" t="s">
        <v>424</v>
      </c>
      <c r="D66" s="728" t="s">
        <v>957</v>
      </c>
      <c r="E66" s="728" t="s">
        <v>375</v>
      </c>
      <c r="F66" s="511"/>
      <c r="G66" s="511"/>
      <c r="H66" s="730">
        <f>H64</f>
        <v>10</v>
      </c>
      <c r="J66" s="470"/>
    </row>
    <row r="67" spans="1:10">
      <c r="A67" s="519" t="s">
        <v>602</v>
      </c>
      <c r="B67" s="728" t="s">
        <v>377</v>
      </c>
      <c r="C67" s="728" t="s">
        <v>424</v>
      </c>
      <c r="D67" s="728" t="s">
        <v>708</v>
      </c>
      <c r="E67" s="728" t="s">
        <v>570</v>
      </c>
      <c r="F67" s="518"/>
      <c r="G67" s="518"/>
      <c r="H67" s="730">
        <f>H59+H16</f>
        <v>160</v>
      </c>
    </row>
    <row r="68" spans="1:10">
      <c r="A68" s="742"/>
      <c r="B68" s="743"/>
      <c r="C68" s="743"/>
      <c r="D68" s="743"/>
      <c r="E68" s="743"/>
      <c r="F68" s="743"/>
      <c r="G68" s="743"/>
      <c r="H68" s="744"/>
    </row>
    <row r="69" spans="1:10">
      <c r="I69" s="762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92D050"/>
  </sheetPr>
  <dimension ref="A1:I24"/>
  <sheetViews>
    <sheetView workbookViewId="0">
      <selection activeCell="C17" sqref="C17"/>
    </sheetView>
  </sheetViews>
  <sheetFormatPr defaultColWidth="10.5703125" defaultRowHeight="15"/>
  <cols>
    <col min="1" max="1" width="4" style="262" customWidth="1"/>
    <col min="2" max="2" width="27" style="262" customWidth="1"/>
    <col min="3" max="4" width="6.5703125" style="262" customWidth="1"/>
    <col min="5" max="5" width="10.5703125" style="262" customWidth="1"/>
    <col min="6" max="8" width="10.7109375" style="262" customWidth="1"/>
    <col min="9" max="9" width="12.5703125" style="262" customWidth="1"/>
    <col min="10" max="10" width="10.5703125" style="262" bestFit="1" customWidth="1"/>
    <col min="11" max="11" width="9.140625" style="262" customWidth="1"/>
    <col min="12" max="12" width="12.140625" style="262" customWidth="1"/>
    <col min="13" max="254" width="9.140625" style="262" customWidth="1"/>
    <col min="255" max="255" width="4" style="262" customWidth="1"/>
    <col min="256" max="16384" width="10.5703125" style="262"/>
  </cols>
  <sheetData>
    <row r="1" spans="1:9" ht="15" customHeight="1">
      <c r="A1" s="988" t="s">
        <v>423</v>
      </c>
      <c r="B1" s="988"/>
      <c r="C1" s="988"/>
      <c r="D1" s="988"/>
      <c r="E1" s="988"/>
      <c r="F1" s="988"/>
      <c r="G1" s="988"/>
      <c r="H1" s="988"/>
    </row>
    <row r="3" spans="1:9" ht="15.75">
      <c r="A3" s="1003" t="s">
        <v>609</v>
      </c>
      <c r="B3" s="1003"/>
      <c r="C3" s="1003"/>
      <c r="D3" s="1003"/>
      <c r="E3" s="1003"/>
      <c r="F3" s="1003"/>
      <c r="G3" s="1003"/>
      <c r="H3" s="1003"/>
    </row>
    <row r="4" spans="1:9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</row>
    <row r="5" spans="1:9" ht="15" customHeight="1">
      <c r="A5" s="186"/>
      <c r="B5" s="186"/>
      <c r="C5" s="186"/>
      <c r="D5" s="186"/>
      <c r="E5" s="186"/>
      <c r="F5" s="186"/>
      <c r="G5" s="186"/>
      <c r="H5" s="188"/>
    </row>
    <row r="6" spans="1:9" ht="15" customHeight="1">
      <c r="A6" s="1041" t="s">
        <v>50</v>
      </c>
      <c r="B6" s="1041"/>
      <c r="C6" s="1041"/>
      <c r="D6" s="1041"/>
      <c r="E6" s="1041"/>
      <c r="F6" s="1041"/>
      <c r="G6" s="1041"/>
      <c r="H6" s="1041"/>
    </row>
    <row r="7" spans="1:9" ht="15" customHeight="1">
      <c r="A7" s="998" t="s">
        <v>629</v>
      </c>
      <c r="B7" s="998"/>
      <c r="C7" s="998"/>
      <c r="D7" s="998"/>
      <c r="E7" s="998"/>
      <c r="F7" s="998"/>
      <c r="G7" s="998"/>
      <c r="H7" s="998"/>
    </row>
    <row r="8" spans="1:9" ht="24" customHeight="1">
      <c r="A8" s="157" t="s">
        <v>483</v>
      </c>
      <c r="B8" s="157" t="s">
        <v>778</v>
      </c>
      <c r="C8" s="154" t="s">
        <v>568</v>
      </c>
      <c r="D8" s="157" t="s">
        <v>614</v>
      </c>
      <c r="E8" s="157" t="s">
        <v>724</v>
      </c>
      <c r="F8" s="157" t="s">
        <v>725</v>
      </c>
      <c r="G8" s="268" t="s">
        <v>690</v>
      </c>
      <c r="H8" s="157" t="s">
        <v>626</v>
      </c>
    </row>
    <row r="9" spans="1:9" ht="15" customHeight="1">
      <c r="A9" s="160">
        <v>1</v>
      </c>
      <c r="B9" s="160">
        <v>2</v>
      </c>
      <c r="C9" s="160">
        <v>3</v>
      </c>
      <c r="D9" s="160">
        <v>4</v>
      </c>
      <c r="E9" s="160">
        <v>5</v>
      </c>
      <c r="F9" s="160">
        <v>6</v>
      </c>
      <c r="G9" s="269">
        <v>7</v>
      </c>
      <c r="H9" s="160">
        <v>8</v>
      </c>
    </row>
    <row r="10" spans="1:9" ht="39.75" customHeight="1">
      <c r="A10" s="160">
        <v>1</v>
      </c>
      <c r="B10" s="437" t="s">
        <v>879</v>
      </c>
      <c r="C10" s="157">
        <v>226</v>
      </c>
      <c r="D10" s="218" t="s">
        <v>587</v>
      </c>
      <c r="E10" s="243">
        <v>5</v>
      </c>
      <c r="F10" s="249">
        <v>30000</v>
      </c>
      <c r="G10" s="536">
        <f>F10*E10</f>
        <v>150000</v>
      </c>
      <c r="H10" s="276">
        <f>ROUND(G10/1000,1)</f>
        <v>150</v>
      </c>
      <c r="I10" s="835"/>
    </row>
    <row r="11" spans="1:9">
      <c r="A11" s="1059" t="s">
        <v>633</v>
      </c>
      <c r="B11" s="1059"/>
      <c r="C11" s="1059"/>
      <c r="D11" s="1059"/>
      <c r="E11" s="1059"/>
      <c r="F11" s="1059"/>
      <c r="G11" s="706">
        <f>SUM(G10:G10)</f>
        <v>150000</v>
      </c>
      <c r="H11" s="609">
        <f>SUM(H10:H10)</f>
        <v>150</v>
      </c>
    </row>
    <row r="13" spans="1:9">
      <c r="A13" s="1041" t="s">
        <v>246</v>
      </c>
      <c r="B13" s="1041"/>
      <c r="C13" s="1041"/>
      <c r="D13" s="1041"/>
      <c r="E13" s="1041"/>
      <c r="F13" s="1041"/>
      <c r="G13" s="1041"/>
      <c r="H13" s="1041"/>
    </row>
    <row r="14" spans="1:9" ht="15" customHeight="1">
      <c r="A14" s="998" t="s">
        <v>954</v>
      </c>
      <c r="B14" s="998"/>
      <c r="C14" s="998"/>
      <c r="D14" s="998"/>
      <c r="E14" s="998"/>
      <c r="F14" s="998"/>
      <c r="G14" s="998"/>
      <c r="H14" s="998"/>
    </row>
    <row r="15" spans="1:9" ht="24">
      <c r="A15" s="157" t="s">
        <v>483</v>
      </c>
      <c r="B15" s="157" t="s">
        <v>714</v>
      </c>
      <c r="C15" s="154" t="s">
        <v>568</v>
      </c>
      <c r="D15" s="157" t="s">
        <v>614</v>
      </c>
      <c r="E15" s="157" t="s">
        <v>956</v>
      </c>
      <c r="F15" s="157" t="s">
        <v>774</v>
      </c>
      <c r="G15" s="268" t="s">
        <v>690</v>
      </c>
      <c r="H15" s="157" t="s">
        <v>626</v>
      </c>
    </row>
    <row r="16" spans="1:9" ht="15" customHeight="1">
      <c r="A16" s="160">
        <v>1</v>
      </c>
      <c r="B16" s="160">
        <v>2</v>
      </c>
      <c r="C16" s="160">
        <v>3</v>
      </c>
      <c r="D16" s="160">
        <v>4</v>
      </c>
      <c r="E16" s="160">
        <v>5</v>
      </c>
      <c r="F16" s="160">
        <v>6</v>
      </c>
      <c r="G16" s="269">
        <v>7</v>
      </c>
      <c r="H16" s="160">
        <v>8</v>
      </c>
    </row>
    <row r="17" spans="1:8" ht="96">
      <c r="A17" s="160">
        <v>1</v>
      </c>
      <c r="B17" s="437" t="s">
        <v>955</v>
      </c>
      <c r="C17" s="157">
        <v>349</v>
      </c>
      <c r="D17" s="218"/>
      <c r="E17" s="243">
        <v>1</v>
      </c>
      <c r="F17" s="249">
        <v>10000</v>
      </c>
      <c r="G17" s="274">
        <f>F17*E17</f>
        <v>10000</v>
      </c>
      <c r="H17" s="265">
        <f>ROUND((F17*E17)/1000,1)</f>
        <v>10</v>
      </c>
    </row>
    <row r="18" spans="1:8">
      <c r="A18" s="1059" t="s">
        <v>723</v>
      </c>
      <c r="B18" s="1059"/>
      <c r="C18" s="1059"/>
      <c r="D18" s="1059"/>
      <c r="E18" s="1059"/>
      <c r="F18" s="1059"/>
      <c r="G18" s="706">
        <f>SUM(G17:G17)</f>
        <v>10000</v>
      </c>
      <c r="H18" s="609">
        <f>SUM(H17:H17)</f>
        <v>10</v>
      </c>
    </row>
    <row r="20" spans="1:8" s="139" customFormat="1"/>
    <row r="21" spans="1:8">
      <c r="A21" s="992" t="s">
        <v>621</v>
      </c>
      <c r="B21" s="992"/>
      <c r="C21" s="162"/>
      <c r="D21" s="993"/>
      <c r="E21" s="993"/>
      <c r="F21" s="139"/>
      <c r="G21" s="993" t="str">
        <f ca="1">рВДЛ!G29</f>
        <v>М.В. Златова</v>
      </c>
      <c r="H21" s="993"/>
    </row>
    <row r="22" spans="1:8">
      <c r="A22" s="1001" t="s">
        <v>554</v>
      </c>
      <c r="B22" s="1001"/>
      <c r="C22" s="163"/>
      <c r="D22" s="1001" t="s">
        <v>555</v>
      </c>
      <c r="E22" s="1001"/>
      <c r="F22" s="139"/>
      <c r="G22" s="1002" t="s">
        <v>556</v>
      </c>
      <c r="H22" s="1002"/>
    </row>
    <row r="23" spans="1:8">
      <c r="A23" s="992" t="str">
        <f ca="1">рВДЛ!A31</f>
        <v>Исполнитель: финансист</v>
      </c>
      <c r="B23" s="992"/>
      <c r="C23" s="162"/>
      <c r="D23" s="993"/>
      <c r="E23" s="993"/>
      <c r="F23" s="139"/>
      <c r="G23" s="993" t="str">
        <f ca="1">рВДЛ!G31</f>
        <v>Е.Н. Рыбалка</v>
      </c>
      <c r="H23" s="993"/>
    </row>
    <row r="24" spans="1:8">
      <c r="A24" s="1001" t="s">
        <v>554</v>
      </c>
      <c r="B24" s="1001"/>
      <c r="C24" s="163"/>
      <c r="D24" s="1001" t="s">
        <v>555</v>
      </c>
      <c r="E24" s="1001"/>
      <c r="F24" s="139"/>
      <c r="G24" s="1002" t="s">
        <v>556</v>
      </c>
      <c r="H24" s="1002"/>
    </row>
  </sheetData>
  <mergeCells count="21">
    <mergeCell ref="A1:H1"/>
    <mergeCell ref="A7:H7"/>
    <mergeCell ref="A4:H4"/>
    <mergeCell ref="A3:H3"/>
    <mergeCell ref="A6:H6"/>
    <mergeCell ref="A13:H13"/>
    <mergeCell ref="A11:F11"/>
    <mergeCell ref="A24:B24"/>
    <mergeCell ref="D24:E24"/>
    <mergeCell ref="G24:H24"/>
    <mergeCell ref="A23:B23"/>
    <mergeCell ref="D23:E23"/>
    <mergeCell ref="G23:H23"/>
    <mergeCell ref="A22:B22"/>
    <mergeCell ref="D22:E22"/>
    <mergeCell ref="A14:H14"/>
    <mergeCell ref="A18:F18"/>
    <mergeCell ref="G22:H22"/>
    <mergeCell ref="A21:B21"/>
    <mergeCell ref="D21:E21"/>
    <mergeCell ref="G21:H21"/>
  </mergeCells>
  <phoneticPr fontId="0" type="noConversion"/>
  <pageMargins left="0.7" right="0.7" top="0.75" bottom="0.75" header="0.3" footer="0.3"/>
  <pageSetup paperSize="9" orientation="portrait" verticalDpi="0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8"/>
  <sheetViews>
    <sheetView showZeros="0" topLeftCell="A43" workbookViewId="0">
      <selection activeCell="D34" sqref="D34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17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7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7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7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7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4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4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</row>
    <row r="12" spans="1:9" s="170" customFormat="1">
      <c r="A12" s="1041" t="s">
        <v>427</v>
      </c>
      <c r="B12" s="1041"/>
      <c r="C12" s="1041"/>
      <c r="D12" s="1041"/>
      <c r="E12" s="1041"/>
      <c r="F12" s="1041"/>
      <c r="G12" s="1041"/>
      <c r="H12" s="1041"/>
      <c r="I12" s="574"/>
    </row>
    <row r="13" spans="1:9" s="170" customFormat="1" ht="6" customHeight="1">
      <c r="E13" s="722"/>
      <c r="F13" s="722"/>
      <c r="G13" s="722"/>
      <c r="H13" s="722"/>
      <c r="I13" s="574"/>
    </row>
    <row r="14" spans="1:9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574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68"/>
    </row>
    <row r="16" spans="1:9">
      <c r="A16" s="512" t="s">
        <v>852</v>
      </c>
      <c r="B16" s="728" t="s">
        <v>426</v>
      </c>
      <c r="C16" s="728" t="s">
        <v>358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673.4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733"/>
      <c r="F23" s="508">
        <v>214</v>
      </c>
      <c r="G23" s="508">
        <v>831</v>
      </c>
      <c r="H23" s="264"/>
    </row>
    <row r="24" spans="1:8">
      <c r="A24" s="513" t="s">
        <v>857</v>
      </c>
      <c r="B24" s="726" t="s">
        <v>426</v>
      </c>
      <c r="C24" s="726" t="s">
        <v>358</v>
      </c>
      <c r="D24" s="726" t="s">
        <v>204</v>
      </c>
      <c r="E24" s="726" t="s">
        <v>375</v>
      </c>
      <c r="F24" s="506">
        <v>220</v>
      </c>
      <c r="G24" s="506"/>
      <c r="H24" s="727">
        <f>H25+H26+H28+H32+H36</f>
        <v>673.4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8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8">
      <c r="A32" s="514" t="s">
        <v>859</v>
      </c>
      <c r="B32" s="728" t="s">
        <v>426</v>
      </c>
      <c r="C32" s="728" t="s">
        <v>358</v>
      </c>
      <c r="D32" s="728" t="s">
        <v>204</v>
      </c>
      <c r="E32" s="728" t="s">
        <v>640</v>
      </c>
      <c r="F32" s="507">
        <v>225</v>
      </c>
      <c r="G32" s="507"/>
      <c r="H32" s="730">
        <f>SUM(H33:H35)</f>
        <v>673.4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 t="s">
        <v>426</v>
      </c>
      <c r="C34" s="732" t="s">
        <v>358</v>
      </c>
      <c r="D34" s="732" t="s">
        <v>204</v>
      </c>
      <c r="E34" s="732" t="s">
        <v>640</v>
      </c>
      <c r="F34" s="508">
        <v>225</v>
      </c>
      <c r="G34" s="508" t="s">
        <v>583</v>
      </c>
      <c r="H34" s="264">
        <f ca="1">рЖилфонд!H18+рЖилфонд!H40</f>
        <v>673.4</v>
      </c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>SUM(H37:H43)</f>
        <v>0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69"/>
    </row>
    <row r="38" spans="1:9">
      <c r="A38" s="515" t="s">
        <v>586</v>
      </c>
      <c r="B38" s="732"/>
      <c r="C38" s="732"/>
      <c r="D38" s="732"/>
      <c r="E38" s="408"/>
      <c r="F38" s="508">
        <v>226</v>
      </c>
      <c r="G38" s="508" t="s">
        <v>587</v>
      </c>
      <c r="H38" s="264"/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408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737"/>
      <c r="C48" s="737"/>
      <c r="D48" s="737"/>
      <c r="E48" s="731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 t="s">
        <v>426</v>
      </c>
      <c r="C59" s="737" t="s">
        <v>358</v>
      </c>
      <c r="D59" s="737" t="s">
        <v>429</v>
      </c>
      <c r="E59" s="737" t="s">
        <v>375</v>
      </c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 t="s">
        <v>426</v>
      </c>
      <c r="C63" s="728" t="s">
        <v>358</v>
      </c>
      <c r="D63" s="728" t="s">
        <v>429</v>
      </c>
      <c r="E63" s="728" t="s">
        <v>640</v>
      </c>
      <c r="F63" s="511">
        <v>346</v>
      </c>
      <c r="G63" s="511"/>
      <c r="H63" s="730">
        <f ca="1">рЖилфонд!H31</f>
        <v>0</v>
      </c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8">
      <c r="A65" s="517" t="s">
        <v>710</v>
      </c>
      <c r="B65" s="728" t="s">
        <v>426</v>
      </c>
      <c r="C65" s="728" t="s">
        <v>358</v>
      </c>
      <c r="D65" s="728" t="s">
        <v>204</v>
      </c>
      <c r="E65" s="728" t="s">
        <v>375</v>
      </c>
      <c r="F65" s="511"/>
      <c r="G65" s="511"/>
      <c r="H65" s="730">
        <f ca="1">рЖилфонд!H40</f>
        <v>673.4</v>
      </c>
    </row>
    <row r="66" spans="1:8">
      <c r="A66" s="517" t="s">
        <v>710</v>
      </c>
      <c r="B66" s="728" t="s">
        <v>426</v>
      </c>
      <c r="C66" s="728" t="s">
        <v>358</v>
      </c>
      <c r="D66" s="728" t="s">
        <v>429</v>
      </c>
      <c r="E66" s="728" t="s">
        <v>375</v>
      </c>
      <c r="F66" s="511"/>
      <c r="G66" s="511"/>
      <c r="H66" s="730">
        <f ca="1">рЖилфонд!H31+рЖилфонд!H18</f>
        <v>0</v>
      </c>
    </row>
    <row r="67" spans="1:8">
      <c r="A67" s="519" t="s">
        <v>602</v>
      </c>
      <c r="B67" s="728" t="s">
        <v>426</v>
      </c>
      <c r="C67" s="728" t="s">
        <v>358</v>
      </c>
      <c r="D67" s="728" t="s">
        <v>708</v>
      </c>
      <c r="E67" s="728" t="s">
        <v>570</v>
      </c>
      <c r="F67" s="518"/>
      <c r="G67" s="518"/>
      <c r="H67" s="730">
        <f>H59+H16</f>
        <v>673.4</v>
      </c>
    </row>
    <row r="68" spans="1:8">
      <c r="A68" s="742"/>
      <c r="B68" s="743"/>
      <c r="C68" s="743"/>
      <c r="D68" s="743"/>
      <c r="E68" s="743"/>
      <c r="F68" s="743"/>
      <c r="G68" s="743"/>
      <c r="H68" s="744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46"/>
  <sheetViews>
    <sheetView topLeftCell="A19" workbookViewId="0">
      <selection activeCell="H38" sqref="H38"/>
    </sheetView>
  </sheetViews>
  <sheetFormatPr defaultColWidth="10.5703125" defaultRowHeight="15"/>
  <cols>
    <col min="1" max="1" width="4.85546875" style="262" customWidth="1"/>
    <col min="2" max="2" width="24.85546875" style="262" customWidth="1"/>
    <col min="3" max="4" width="6.5703125" style="262" customWidth="1"/>
    <col min="5" max="5" width="9.28515625" style="262" customWidth="1"/>
    <col min="6" max="6" width="13.42578125" style="262" customWidth="1"/>
    <col min="7" max="7" width="11.7109375" style="262" customWidth="1"/>
    <col min="8" max="8" width="11.5703125" style="262" customWidth="1"/>
    <col min="9" max="9" width="12.5703125" style="262" customWidth="1"/>
    <col min="10" max="10" width="10.5703125" style="262" bestFit="1" customWidth="1"/>
    <col min="11" max="11" width="9.140625" style="262" customWidth="1"/>
    <col min="12" max="12" width="12.140625" style="262" customWidth="1"/>
    <col min="13" max="254" width="9.140625" style="262" customWidth="1"/>
    <col min="255" max="255" width="4" style="262" customWidth="1"/>
    <col min="256" max="16384" width="10.5703125" style="262"/>
  </cols>
  <sheetData>
    <row r="1" spans="1:12">
      <c r="A1" s="1127" t="s">
        <v>427</v>
      </c>
      <c r="B1" s="1127"/>
      <c r="C1" s="1127"/>
      <c r="D1" s="1127"/>
      <c r="E1" s="1127"/>
      <c r="F1" s="1127"/>
      <c r="G1" s="1127"/>
      <c r="H1" s="1127"/>
    </row>
    <row r="3" spans="1:12" ht="15.75">
      <c r="A3" s="1003" t="s">
        <v>609</v>
      </c>
      <c r="B3" s="1003"/>
      <c r="C3" s="1003"/>
      <c r="D3" s="1003"/>
      <c r="E3" s="1003"/>
      <c r="F3" s="1003"/>
      <c r="G3" s="1003"/>
      <c r="H3" s="1003"/>
    </row>
    <row r="4" spans="1:12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</row>
    <row r="5" spans="1:12" ht="15" customHeight="1">
      <c r="A5" s="186"/>
      <c r="B5" s="186"/>
      <c r="C5" s="186"/>
      <c r="D5" s="186"/>
      <c r="E5" s="186"/>
      <c r="F5" s="186"/>
      <c r="G5" s="186"/>
      <c r="H5" s="188"/>
    </row>
    <row r="6" spans="1:12">
      <c r="A6" s="1041" t="s">
        <v>51</v>
      </c>
      <c r="B6" s="1041"/>
      <c r="C6" s="1041"/>
      <c r="D6" s="1041"/>
      <c r="E6" s="1041"/>
      <c r="F6" s="1041"/>
      <c r="G6" s="1041"/>
      <c r="H6" s="1041"/>
    </row>
    <row r="7" spans="1:12">
      <c r="A7" s="998" t="s">
        <v>741</v>
      </c>
      <c r="B7" s="998"/>
      <c r="C7" s="998"/>
      <c r="D7" s="998"/>
      <c r="E7" s="998"/>
      <c r="F7" s="998"/>
      <c r="G7" s="998"/>
      <c r="H7" s="998"/>
    </row>
    <row r="8" spans="1:12" ht="24" customHeight="1">
      <c r="A8" s="157" t="s">
        <v>483</v>
      </c>
      <c r="B8" s="157" t="s">
        <v>714</v>
      </c>
      <c r="C8" s="154" t="s">
        <v>568</v>
      </c>
      <c r="D8" s="157" t="s">
        <v>614</v>
      </c>
      <c r="E8" s="157" t="s">
        <v>668</v>
      </c>
      <c r="F8" s="157" t="s">
        <v>630</v>
      </c>
      <c r="G8" s="268" t="s">
        <v>690</v>
      </c>
      <c r="H8" s="157" t="s">
        <v>626</v>
      </c>
    </row>
    <row r="9" spans="1:12">
      <c r="A9" s="160">
        <v>1</v>
      </c>
      <c r="B9" s="160">
        <v>2</v>
      </c>
      <c r="C9" s="160">
        <v>3</v>
      </c>
      <c r="D9" s="160">
        <v>4</v>
      </c>
      <c r="E9" s="160">
        <v>5</v>
      </c>
      <c r="F9" s="160">
        <v>6</v>
      </c>
      <c r="G9" s="269">
        <v>7</v>
      </c>
      <c r="H9" s="160">
        <v>8</v>
      </c>
    </row>
    <row r="10" spans="1:12" ht="48">
      <c r="A10" s="160">
        <v>1</v>
      </c>
      <c r="B10" s="437" t="s">
        <v>57</v>
      </c>
      <c r="C10" s="157">
        <v>225</v>
      </c>
      <c r="D10" s="154">
        <v>770</v>
      </c>
      <c r="E10" s="243">
        <v>5</v>
      </c>
      <c r="F10" s="249">
        <f>G10/E10</f>
        <v>0</v>
      </c>
      <c r="G10" s="274">
        <f>SUM(G11:G17)</f>
        <v>0</v>
      </c>
      <c r="H10" s="265">
        <f>ROUND(G10/1000,1)</f>
        <v>0</v>
      </c>
      <c r="J10" s="815"/>
    </row>
    <row r="11" spans="1:12">
      <c r="A11" s="764" t="s">
        <v>59</v>
      </c>
      <c r="B11" s="765" t="s">
        <v>56</v>
      </c>
      <c r="C11" s="157"/>
      <c r="D11" s="154"/>
      <c r="E11" s="243"/>
      <c r="F11" s="249"/>
      <c r="G11" s="274"/>
      <c r="H11" s="265"/>
      <c r="I11" s="470"/>
      <c r="J11" s="863" t="s">
        <v>181</v>
      </c>
      <c r="L11" s="859" t="s">
        <v>183</v>
      </c>
    </row>
    <row r="12" spans="1:12">
      <c r="A12" s="764" t="s">
        <v>60</v>
      </c>
      <c r="B12" s="765" t="s">
        <v>54</v>
      </c>
      <c r="C12" s="157"/>
      <c r="D12" s="154"/>
      <c r="E12" s="243"/>
      <c r="F12" s="249"/>
      <c r="G12" s="274"/>
      <c r="H12" s="265"/>
      <c r="J12" s="814"/>
    </row>
    <row r="13" spans="1:12">
      <c r="A13" s="764" t="s">
        <v>61</v>
      </c>
      <c r="B13" s="765" t="s">
        <v>55</v>
      </c>
      <c r="C13" s="157"/>
      <c r="D13" s="154"/>
      <c r="E13" s="243"/>
      <c r="F13" s="249"/>
      <c r="G13" s="274"/>
      <c r="H13" s="265"/>
      <c r="J13" s="814"/>
    </row>
    <row r="14" spans="1:12">
      <c r="A14" s="764" t="s">
        <v>62</v>
      </c>
      <c r="B14" s="765" t="s">
        <v>53</v>
      </c>
      <c r="C14" s="157"/>
      <c r="D14" s="154"/>
      <c r="E14" s="243"/>
      <c r="F14" s="249"/>
      <c r="G14" s="274"/>
      <c r="H14" s="265"/>
      <c r="J14" s="814"/>
    </row>
    <row r="15" spans="1:12">
      <c r="A15" s="764" t="s">
        <v>63</v>
      </c>
      <c r="B15" s="765" t="s">
        <v>52</v>
      </c>
      <c r="C15" s="157"/>
      <c r="D15" s="154"/>
      <c r="E15" s="243"/>
      <c r="F15" s="249"/>
      <c r="G15" s="274"/>
      <c r="H15" s="265"/>
      <c r="J15" s="814"/>
    </row>
    <row r="16" spans="1:12">
      <c r="A16" s="764" t="s">
        <v>83</v>
      </c>
      <c r="B16" s="765" t="s">
        <v>84</v>
      </c>
      <c r="C16" s="157"/>
      <c r="D16" s="154"/>
      <c r="E16" s="243"/>
      <c r="F16" s="249"/>
      <c r="G16" s="274"/>
      <c r="H16" s="265"/>
      <c r="J16" s="814"/>
    </row>
    <row r="17" spans="1:12">
      <c r="A17" s="764" t="s">
        <v>117</v>
      </c>
      <c r="B17" s="765" t="s">
        <v>118</v>
      </c>
      <c r="C17" s="157"/>
      <c r="D17" s="154"/>
      <c r="E17" s="243"/>
      <c r="F17" s="249"/>
      <c r="G17" s="274"/>
      <c r="H17" s="265"/>
      <c r="I17" s="470"/>
      <c r="J17" s="814"/>
    </row>
    <row r="18" spans="1:12">
      <c r="A18" s="1059" t="s">
        <v>671</v>
      </c>
      <c r="B18" s="1059"/>
      <c r="C18" s="1059"/>
      <c r="D18" s="1059"/>
      <c r="E18" s="1059"/>
      <c r="F18" s="1059"/>
      <c r="G18" s="706">
        <f>G10</f>
        <v>0</v>
      </c>
      <c r="H18" s="275">
        <f>H10</f>
        <v>0</v>
      </c>
      <c r="I18" s="834"/>
    </row>
    <row r="20" spans="1:12" ht="15" customHeight="1">
      <c r="A20" s="1064" t="s">
        <v>36</v>
      </c>
      <c r="B20" s="1064"/>
      <c r="C20" s="1064"/>
      <c r="D20" s="1064"/>
      <c r="E20" s="1064"/>
      <c r="F20" s="1064"/>
      <c r="G20" s="1064"/>
      <c r="H20" s="1064"/>
    </row>
    <row r="21" spans="1:12" ht="24" customHeight="1">
      <c r="A21" s="154" t="s">
        <v>483</v>
      </c>
      <c r="B21" s="157" t="s">
        <v>714</v>
      </c>
      <c r="C21" s="154" t="s">
        <v>568</v>
      </c>
      <c r="D21" s="157" t="s">
        <v>614</v>
      </c>
      <c r="E21" s="157" t="s">
        <v>635</v>
      </c>
      <c r="F21" s="157" t="s">
        <v>630</v>
      </c>
      <c r="G21" s="268" t="s">
        <v>690</v>
      </c>
      <c r="H21" s="157" t="s">
        <v>626</v>
      </c>
    </row>
    <row r="22" spans="1:12">
      <c r="A22" s="160">
        <v>1</v>
      </c>
      <c r="B22" s="160">
        <v>2</v>
      </c>
      <c r="C22" s="160">
        <v>3</v>
      </c>
      <c r="D22" s="160">
        <v>4</v>
      </c>
      <c r="E22" s="160">
        <v>5</v>
      </c>
      <c r="F22" s="160">
        <v>6</v>
      </c>
      <c r="G22" s="269">
        <v>7</v>
      </c>
      <c r="H22" s="160">
        <v>8</v>
      </c>
    </row>
    <row r="23" spans="1:12" ht="48">
      <c r="A23" s="160">
        <v>1</v>
      </c>
      <c r="B23" s="437" t="s">
        <v>58</v>
      </c>
      <c r="C23" s="157">
        <v>346</v>
      </c>
      <c r="D23" s="154"/>
      <c r="E23" s="243">
        <v>5</v>
      </c>
      <c r="F23" s="249">
        <f>G23/E23</f>
        <v>0</v>
      </c>
      <c r="G23" s="274">
        <f>SUM(G24:G30)</f>
        <v>0</v>
      </c>
      <c r="H23" s="265">
        <f>ROUND(G23/1000,1)</f>
        <v>0</v>
      </c>
      <c r="L23" s="280"/>
    </row>
    <row r="24" spans="1:12">
      <c r="A24" s="764" t="s">
        <v>59</v>
      </c>
      <c r="B24" s="765" t="s">
        <v>56</v>
      </c>
      <c r="C24" s="157"/>
      <c r="D24" s="154"/>
      <c r="E24" s="243"/>
      <c r="F24" s="249"/>
      <c r="G24" s="274"/>
      <c r="H24" s="265"/>
      <c r="I24" s="470"/>
      <c r="J24" s="863" t="s">
        <v>181</v>
      </c>
      <c r="L24" s="864" t="s">
        <v>182</v>
      </c>
    </row>
    <row r="25" spans="1:12">
      <c r="A25" s="764" t="s">
        <v>60</v>
      </c>
      <c r="B25" s="765" t="s">
        <v>54</v>
      </c>
      <c r="C25" s="157"/>
      <c r="D25" s="154"/>
      <c r="E25" s="243"/>
      <c r="F25" s="249"/>
      <c r="G25" s="274"/>
      <c r="H25" s="265"/>
      <c r="J25" s="814"/>
    </row>
    <row r="26" spans="1:12">
      <c r="A26" s="764" t="s">
        <v>61</v>
      </c>
      <c r="B26" s="765" t="s">
        <v>55</v>
      </c>
      <c r="C26" s="157"/>
      <c r="D26" s="154"/>
      <c r="E26" s="243"/>
      <c r="F26" s="249"/>
      <c r="G26" s="274"/>
      <c r="H26" s="265"/>
      <c r="J26" s="814"/>
    </row>
    <row r="27" spans="1:12">
      <c r="A27" s="764" t="s">
        <v>62</v>
      </c>
      <c r="B27" s="765" t="s">
        <v>53</v>
      </c>
      <c r="C27" s="157"/>
      <c r="D27" s="154"/>
      <c r="E27" s="243"/>
      <c r="F27" s="249"/>
      <c r="G27" s="274"/>
      <c r="H27" s="265"/>
      <c r="J27" s="814"/>
      <c r="L27" s="280"/>
    </row>
    <row r="28" spans="1:12">
      <c r="A28" s="764" t="s">
        <v>63</v>
      </c>
      <c r="B28" s="765" t="s">
        <v>52</v>
      </c>
      <c r="C28" s="157"/>
      <c r="D28" s="154"/>
      <c r="E28" s="243"/>
      <c r="F28" s="249"/>
      <c r="G28" s="274"/>
      <c r="H28" s="265"/>
      <c r="J28" s="814"/>
    </row>
    <row r="29" spans="1:12">
      <c r="A29" s="764" t="s">
        <v>83</v>
      </c>
      <c r="B29" s="765" t="s">
        <v>84</v>
      </c>
      <c r="C29" s="157"/>
      <c r="D29" s="154"/>
      <c r="E29" s="243"/>
      <c r="F29" s="249"/>
      <c r="G29" s="274"/>
      <c r="H29" s="265"/>
    </row>
    <row r="30" spans="1:12">
      <c r="A30" s="764" t="s">
        <v>117</v>
      </c>
      <c r="B30" s="765" t="s">
        <v>118</v>
      </c>
      <c r="C30" s="157"/>
      <c r="D30" s="154"/>
      <c r="E30" s="243"/>
      <c r="F30" s="249"/>
      <c r="G30" s="274"/>
      <c r="H30" s="265"/>
      <c r="I30" s="470"/>
    </row>
    <row r="31" spans="1:12">
      <c r="A31" s="995" t="s">
        <v>687</v>
      </c>
      <c r="B31" s="995"/>
      <c r="C31" s="995"/>
      <c r="D31" s="995"/>
      <c r="E31" s="995"/>
      <c r="F31" s="995"/>
      <c r="G31" s="707">
        <f>G23</f>
        <v>0</v>
      </c>
      <c r="H31" s="275">
        <f>SUM(H23:H23)</f>
        <v>0</v>
      </c>
      <c r="I31" s="834"/>
    </row>
    <row r="33" spans="1:8" s="139" customFormat="1"/>
    <row r="34" spans="1:8" s="139" customFormat="1">
      <c r="A34" s="1041" t="s">
        <v>168</v>
      </c>
      <c r="B34" s="1041"/>
      <c r="C34" s="1041"/>
      <c r="D34" s="1041"/>
      <c r="E34" s="1041"/>
      <c r="F34" s="1041"/>
      <c r="G34" s="1041"/>
      <c r="H34" s="1041"/>
    </row>
    <row r="35" spans="1:8" s="139" customFormat="1">
      <c r="A35" s="998" t="s">
        <v>741</v>
      </c>
      <c r="B35" s="998"/>
      <c r="C35" s="998"/>
      <c r="D35" s="998"/>
      <c r="E35" s="998"/>
      <c r="F35" s="998"/>
      <c r="G35" s="998"/>
      <c r="H35" s="998"/>
    </row>
    <row r="36" spans="1:8" s="139" customFormat="1" ht="24">
      <c r="A36" s="157" t="s">
        <v>483</v>
      </c>
      <c r="B36" s="157" t="s">
        <v>714</v>
      </c>
      <c r="C36" s="154" t="s">
        <v>568</v>
      </c>
      <c r="D36" s="157" t="s">
        <v>614</v>
      </c>
      <c r="E36" s="157" t="s">
        <v>169</v>
      </c>
      <c r="F36" s="157" t="s">
        <v>630</v>
      </c>
      <c r="G36" s="268" t="s">
        <v>690</v>
      </c>
      <c r="H36" s="157" t="s">
        <v>626</v>
      </c>
    </row>
    <row r="37" spans="1:8" s="139" customFormat="1">
      <c r="A37" s="160">
        <v>1</v>
      </c>
      <c r="B37" s="160">
        <v>2</v>
      </c>
      <c r="C37" s="160">
        <v>3</v>
      </c>
      <c r="D37" s="160">
        <v>4</v>
      </c>
      <c r="E37" s="160">
        <v>5</v>
      </c>
      <c r="F37" s="160">
        <v>6</v>
      </c>
      <c r="G37" s="269">
        <v>7</v>
      </c>
      <c r="H37" s="160">
        <v>8</v>
      </c>
    </row>
    <row r="38" spans="1:8" s="139" customFormat="1" ht="72">
      <c r="A38" s="160">
        <v>1</v>
      </c>
      <c r="B38" s="437" t="s">
        <v>170</v>
      </c>
      <c r="C38" s="157">
        <v>225</v>
      </c>
      <c r="D38" s="154">
        <v>770</v>
      </c>
      <c r="E38" s="243">
        <v>160</v>
      </c>
      <c r="F38" s="249">
        <f>G38/E38</f>
        <v>1952.5461250000001</v>
      </c>
      <c r="G38" s="274">
        <v>312407.38</v>
      </c>
      <c r="H38" s="265">
        <f>ROUND(G38/1000,1)</f>
        <v>312.39999999999998</v>
      </c>
    </row>
    <row r="39" spans="1:8" s="139" customFormat="1" ht="72">
      <c r="A39" s="160">
        <v>2</v>
      </c>
      <c r="B39" s="437" t="s">
        <v>171</v>
      </c>
      <c r="C39" s="157">
        <v>225</v>
      </c>
      <c r="D39" s="154">
        <v>770</v>
      </c>
      <c r="E39" s="243">
        <v>185</v>
      </c>
      <c r="F39" s="249">
        <f>G39/E39</f>
        <v>1951.1315135135137</v>
      </c>
      <c r="G39" s="274">
        <v>360959.33</v>
      </c>
      <c r="H39" s="265">
        <f>ROUND(G39/1000,1)</f>
        <v>361</v>
      </c>
    </row>
    <row r="40" spans="1:8" s="139" customFormat="1">
      <c r="A40" s="1059" t="s">
        <v>671</v>
      </c>
      <c r="B40" s="1059"/>
      <c r="C40" s="1059"/>
      <c r="D40" s="1059"/>
      <c r="E40" s="1059"/>
      <c r="F40" s="1059"/>
      <c r="G40" s="706">
        <f>SUM(G38:G39)</f>
        <v>673366.71</v>
      </c>
      <c r="H40" s="275">
        <f>SUM(H38:H39)</f>
        <v>673.4</v>
      </c>
    </row>
    <row r="41" spans="1:8" s="139" customFormat="1"/>
    <row r="42" spans="1:8" s="139" customFormat="1"/>
    <row r="43" spans="1:8">
      <c r="A43" s="992" t="s">
        <v>621</v>
      </c>
      <c r="B43" s="992"/>
      <c r="C43" s="162"/>
      <c r="D43" s="993"/>
      <c r="E43" s="993"/>
      <c r="F43" s="139"/>
      <c r="G43" s="993" t="str">
        <f ca="1">рВДЛ!G29</f>
        <v>М.В. Златова</v>
      </c>
      <c r="H43" s="993"/>
    </row>
    <row r="44" spans="1:8">
      <c r="A44" s="1001" t="s">
        <v>554</v>
      </c>
      <c r="B44" s="1001"/>
      <c r="C44" s="163"/>
      <c r="D44" s="1001" t="s">
        <v>555</v>
      </c>
      <c r="E44" s="1001"/>
      <c r="F44" s="139"/>
      <c r="G44" s="1002" t="s">
        <v>556</v>
      </c>
      <c r="H44" s="1002"/>
    </row>
    <row r="45" spans="1:8">
      <c r="A45" s="992" t="str">
        <f ca="1">рВДЛ!A31</f>
        <v>Исполнитель: финансист</v>
      </c>
      <c r="B45" s="992"/>
      <c r="C45" s="162"/>
      <c r="D45" s="993"/>
      <c r="E45" s="993"/>
      <c r="F45" s="139"/>
      <c r="G45" s="993" t="str">
        <f ca="1">рВДЛ!G31</f>
        <v>Е.Н. Рыбалка</v>
      </c>
      <c r="H45" s="993"/>
    </row>
    <row r="46" spans="1:8">
      <c r="A46" s="1001" t="s">
        <v>554</v>
      </c>
      <c r="B46" s="1001"/>
      <c r="C46" s="163"/>
      <c r="D46" s="1001" t="s">
        <v>555</v>
      </c>
      <c r="E46" s="1001"/>
      <c r="F46" s="139"/>
      <c r="G46" s="1002" t="s">
        <v>556</v>
      </c>
      <c r="H46" s="1002"/>
    </row>
  </sheetData>
  <mergeCells count="23">
    <mergeCell ref="A43:B43"/>
    <mergeCell ref="D43:E43"/>
    <mergeCell ref="G43:H43"/>
    <mergeCell ref="A31:F31"/>
    <mergeCell ref="A20:H20"/>
    <mergeCell ref="A7:H7"/>
    <mergeCell ref="A18:F18"/>
    <mergeCell ref="A6:H6"/>
    <mergeCell ref="A34:H34"/>
    <mergeCell ref="A35:H35"/>
    <mergeCell ref="A40:F40"/>
    <mergeCell ref="A1:H1"/>
    <mergeCell ref="A3:H3"/>
    <mergeCell ref="A4:H4"/>
    <mergeCell ref="A46:B46"/>
    <mergeCell ref="D46:E46"/>
    <mergeCell ref="G46:H46"/>
    <mergeCell ref="A44:B44"/>
    <mergeCell ref="D44:E44"/>
    <mergeCell ref="G44:H44"/>
    <mergeCell ref="A45:B45"/>
    <mergeCell ref="D45:E45"/>
    <mergeCell ref="G45:H4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8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7"/>
  <sheetViews>
    <sheetView showZeros="0" topLeftCell="A43" workbookViewId="0">
      <selection activeCell="D65" sqref="D65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17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7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7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7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7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4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4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</row>
    <row r="12" spans="1:9" s="170" customFormat="1">
      <c r="A12" s="1041" t="s">
        <v>430</v>
      </c>
      <c r="B12" s="1041"/>
      <c r="C12" s="1041"/>
      <c r="D12" s="1041"/>
      <c r="E12" s="1041"/>
      <c r="F12" s="1041"/>
      <c r="G12" s="1041"/>
      <c r="H12" s="1041"/>
      <c r="I12" s="574"/>
    </row>
    <row r="13" spans="1:9" s="170" customFormat="1" ht="6" customHeight="1">
      <c r="E13" s="722"/>
      <c r="F13" s="722"/>
      <c r="G13" s="722"/>
      <c r="H13" s="722"/>
      <c r="I13" s="574"/>
    </row>
    <row r="14" spans="1:9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574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68"/>
    </row>
    <row r="16" spans="1:9">
      <c r="A16" s="512" t="s">
        <v>852</v>
      </c>
      <c r="B16" s="728" t="s">
        <v>426</v>
      </c>
      <c r="C16" s="728" t="s">
        <v>360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13.4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733"/>
      <c r="F23" s="508">
        <v>214</v>
      </c>
      <c r="G23" s="508">
        <v>831</v>
      </c>
      <c r="H23" s="264"/>
    </row>
    <row r="24" spans="1:8">
      <c r="A24" s="513" t="s">
        <v>857</v>
      </c>
      <c r="B24" s="726" t="s">
        <v>426</v>
      </c>
      <c r="C24" s="726" t="s">
        <v>360</v>
      </c>
      <c r="D24" s="726" t="s">
        <v>205</v>
      </c>
      <c r="E24" s="726" t="s">
        <v>375</v>
      </c>
      <c r="F24" s="506">
        <v>220</v>
      </c>
      <c r="G24" s="506"/>
      <c r="H24" s="727">
        <f>H25+H26+H28+H32+H36</f>
        <v>13.4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8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8">
      <c r="A32" s="514" t="s">
        <v>859</v>
      </c>
      <c r="B32" s="728" t="s">
        <v>426</v>
      </c>
      <c r="C32" s="728" t="s">
        <v>360</v>
      </c>
      <c r="D32" s="728" t="s">
        <v>205</v>
      </c>
      <c r="E32" s="728" t="s">
        <v>640</v>
      </c>
      <c r="F32" s="507">
        <v>225</v>
      </c>
      <c r="G32" s="507"/>
      <c r="H32" s="730">
        <f>SUM(H33:H35)</f>
        <v>13.4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 t="s">
        <v>426</v>
      </c>
      <c r="C34" s="732" t="s">
        <v>360</v>
      </c>
      <c r="D34" s="732" t="s">
        <v>205</v>
      </c>
      <c r="E34" s="732" t="s">
        <v>640</v>
      </c>
      <c r="F34" s="508">
        <v>225</v>
      </c>
      <c r="G34" s="508" t="s">
        <v>583</v>
      </c>
      <c r="H34" s="264">
        <f ca="1">рКомХоз!H11</f>
        <v>13.4</v>
      </c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>SUM(H37:H43)</f>
        <v>0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69"/>
    </row>
    <row r="38" spans="1:9">
      <c r="A38" s="515" t="s">
        <v>586</v>
      </c>
      <c r="B38" s="732"/>
      <c r="C38" s="732"/>
      <c r="D38" s="732"/>
      <c r="E38" s="408"/>
      <c r="F38" s="508">
        <v>226</v>
      </c>
      <c r="G38" s="508" t="s">
        <v>587</v>
      </c>
      <c r="H38" s="264"/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408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737"/>
      <c r="C48" s="737"/>
      <c r="D48" s="737"/>
      <c r="E48" s="731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9">
      <c r="A65" s="517" t="s">
        <v>710</v>
      </c>
      <c r="B65" s="728" t="s">
        <v>426</v>
      </c>
      <c r="C65" s="728" t="s">
        <v>360</v>
      </c>
      <c r="D65" s="728" t="s">
        <v>205</v>
      </c>
      <c r="E65" s="728" t="s">
        <v>375</v>
      </c>
      <c r="F65" s="511"/>
      <c r="G65" s="511"/>
      <c r="H65" s="730">
        <f>H34</f>
        <v>13.4</v>
      </c>
    </row>
    <row r="66" spans="1:9">
      <c r="A66" s="519" t="s">
        <v>602</v>
      </c>
      <c r="B66" s="728" t="s">
        <v>426</v>
      </c>
      <c r="C66" s="728" t="s">
        <v>360</v>
      </c>
      <c r="D66" s="728" t="s">
        <v>708</v>
      </c>
      <c r="E66" s="728" t="s">
        <v>570</v>
      </c>
      <c r="F66" s="518"/>
      <c r="G66" s="518"/>
      <c r="H66" s="730">
        <f>H59+H16</f>
        <v>13.4</v>
      </c>
      <c r="I66" s="574">
        <f>SUM(I16:I64)</f>
        <v>0</v>
      </c>
    </row>
    <row r="67" spans="1:9">
      <c r="A67" s="742"/>
      <c r="B67" s="743"/>
      <c r="C67" s="743"/>
      <c r="D67" s="743"/>
      <c r="E67" s="743"/>
      <c r="F67" s="743"/>
      <c r="G67" s="743"/>
      <c r="H67" s="744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92D050"/>
  </sheetPr>
  <dimension ref="A1:H17"/>
  <sheetViews>
    <sheetView workbookViewId="0">
      <selection activeCell="B10" sqref="B10"/>
    </sheetView>
  </sheetViews>
  <sheetFormatPr defaultColWidth="10.5703125" defaultRowHeight="15"/>
  <cols>
    <col min="1" max="1" width="4" style="262" customWidth="1"/>
    <col min="2" max="2" width="24.42578125" style="262" customWidth="1"/>
    <col min="3" max="4" width="6.5703125" style="262" customWidth="1"/>
    <col min="5" max="5" width="9.28515625" style="262" customWidth="1"/>
    <col min="6" max="8" width="11.7109375" style="262" customWidth="1"/>
    <col min="9" max="9" width="12.5703125" style="262" customWidth="1"/>
    <col min="10" max="10" width="10.5703125" style="262" bestFit="1" customWidth="1"/>
    <col min="11" max="11" width="9.140625" style="262" customWidth="1"/>
    <col min="12" max="12" width="12.140625" style="262" customWidth="1"/>
    <col min="13" max="254" width="9.140625" style="262" customWidth="1"/>
    <col min="255" max="255" width="4" style="262" customWidth="1"/>
    <col min="256" max="16384" width="10.5703125" style="262"/>
  </cols>
  <sheetData>
    <row r="1" spans="1:8">
      <c r="A1" s="1041" t="s">
        <v>430</v>
      </c>
      <c r="B1" s="1041"/>
      <c r="C1" s="1041"/>
      <c r="D1" s="1041"/>
      <c r="E1" s="1041"/>
      <c r="F1" s="1041"/>
      <c r="G1" s="1041"/>
      <c r="H1" s="1041"/>
    </row>
    <row r="3" spans="1:8" ht="15.75">
      <c r="A3" s="1003" t="s">
        <v>609</v>
      </c>
      <c r="B3" s="1003"/>
      <c r="C3" s="1003"/>
      <c r="D3" s="1003"/>
      <c r="E3" s="1003"/>
      <c r="F3" s="1003"/>
      <c r="G3" s="1003"/>
      <c r="H3" s="1003"/>
    </row>
    <row r="4" spans="1:8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</row>
    <row r="5" spans="1:8" ht="15" customHeight="1">
      <c r="A5" s="186"/>
      <c r="B5" s="186"/>
      <c r="C5" s="186"/>
      <c r="D5" s="186"/>
      <c r="E5" s="186"/>
      <c r="F5" s="186"/>
      <c r="G5" s="186"/>
      <c r="H5" s="188"/>
    </row>
    <row r="6" spans="1:8">
      <c r="A6" s="988" t="s">
        <v>175</v>
      </c>
      <c r="B6" s="988"/>
      <c r="C6" s="988"/>
      <c r="D6" s="988"/>
      <c r="E6" s="988"/>
      <c r="F6" s="988"/>
      <c r="G6" s="988"/>
      <c r="H6" s="988"/>
    </row>
    <row r="7" spans="1:8">
      <c r="A7" s="998" t="s">
        <v>741</v>
      </c>
      <c r="B7" s="998"/>
      <c r="C7" s="998"/>
      <c r="D7" s="998"/>
      <c r="E7" s="998"/>
      <c r="F7" s="998"/>
      <c r="G7" s="998"/>
      <c r="H7" s="998"/>
    </row>
    <row r="8" spans="1:8" ht="24" customHeight="1">
      <c r="A8" s="157" t="s">
        <v>483</v>
      </c>
      <c r="B8" s="157" t="s">
        <v>726</v>
      </c>
      <c r="C8" s="154" t="s">
        <v>568</v>
      </c>
      <c r="D8" s="157" t="s">
        <v>614</v>
      </c>
      <c r="E8" s="157" t="s">
        <v>635</v>
      </c>
      <c r="F8" s="157" t="s">
        <v>800</v>
      </c>
      <c r="G8" s="268" t="s">
        <v>690</v>
      </c>
      <c r="H8" s="157" t="s">
        <v>626</v>
      </c>
    </row>
    <row r="9" spans="1:8">
      <c r="A9" s="160">
        <v>1</v>
      </c>
      <c r="B9" s="160">
        <v>2</v>
      </c>
      <c r="C9" s="160">
        <v>3</v>
      </c>
      <c r="D9" s="160">
        <v>4</v>
      </c>
      <c r="E9" s="160">
        <v>5</v>
      </c>
      <c r="F9" s="160">
        <v>6</v>
      </c>
      <c r="G9" s="269">
        <v>7</v>
      </c>
      <c r="H9" s="160">
        <v>8</v>
      </c>
    </row>
    <row r="10" spans="1:8" ht="132">
      <c r="A10" s="160">
        <v>1</v>
      </c>
      <c r="B10" s="437" t="s">
        <v>174</v>
      </c>
      <c r="C10" s="157">
        <v>225</v>
      </c>
      <c r="D10" s="218" t="s">
        <v>583</v>
      </c>
      <c r="E10" s="243">
        <v>1</v>
      </c>
      <c r="F10" s="249">
        <v>13400</v>
      </c>
      <c r="G10" s="274">
        <f>F10*E10</f>
        <v>13400</v>
      </c>
      <c r="H10" s="265">
        <f>ROUND((F10*E10)/1000,1)</f>
        <v>13.4</v>
      </c>
    </row>
    <row r="11" spans="1:8">
      <c r="A11" s="1059" t="s">
        <v>633</v>
      </c>
      <c r="B11" s="1059"/>
      <c r="C11" s="1059"/>
      <c r="D11" s="1059"/>
      <c r="E11" s="1059"/>
      <c r="F11" s="1059"/>
      <c r="G11" s="706">
        <f>SUM(G10:G10)</f>
        <v>13400</v>
      </c>
      <c r="H11" s="275">
        <f>SUM(H10:H10)</f>
        <v>13.4</v>
      </c>
    </row>
    <row r="13" spans="1:8" s="139" customFormat="1"/>
    <row r="14" spans="1:8">
      <c r="A14" s="992" t="s">
        <v>621</v>
      </c>
      <c r="B14" s="992"/>
      <c r="C14" s="162"/>
      <c r="D14" s="993"/>
      <c r="E14" s="993"/>
      <c r="F14" s="139"/>
      <c r="G14" s="993" t="str">
        <f ca="1">рВДЛ!G29</f>
        <v>М.В. Златова</v>
      </c>
      <c r="H14" s="993"/>
    </row>
    <row r="15" spans="1:8">
      <c r="A15" s="1001" t="s">
        <v>554</v>
      </c>
      <c r="B15" s="1001"/>
      <c r="C15" s="163"/>
      <c r="D15" s="1001" t="s">
        <v>555</v>
      </c>
      <c r="E15" s="1001"/>
      <c r="F15" s="139"/>
      <c r="G15" s="1002" t="s">
        <v>556</v>
      </c>
      <c r="H15" s="1002"/>
    </row>
    <row r="16" spans="1:8">
      <c r="A16" s="992" t="str">
        <f ca="1">рВДЛ!A31</f>
        <v>Исполнитель: финансист</v>
      </c>
      <c r="B16" s="992"/>
      <c r="C16" s="162"/>
      <c r="D16" s="993"/>
      <c r="E16" s="993"/>
      <c r="F16" s="139"/>
      <c r="G16" s="993" t="str">
        <f ca="1">рВДЛ!G31</f>
        <v>Е.Н. Рыбалка</v>
      </c>
      <c r="H16" s="993"/>
    </row>
    <row r="17" spans="1:8">
      <c r="A17" s="1001" t="s">
        <v>554</v>
      </c>
      <c r="B17" s="1001"/>
      <c r="C17" s="163"/>
      <c r="D17" s="1001" t="s">
        <v>555</v>
      </c>
      <c r="E17" s="1001"/>
      <c r="F17" s="139"/>
      <c r="G17" s="1002" t="s">
        <v>556</v>
      </c>
      <c r="H17" s="1002"/>
    </row>
  </sheetData>
  <mergeCells count="18">
    <mergeCell ref="A1:H1"/>
    <mergeCell ref="A3:H3"/>
    <mergeCell ref="A4:H4"/>
    <mergeCell ref="A11:F11"/>
    <mergeCell ref="A14:B14"/>
    <mergeCell ref="D14:E14"/>
    <mergeCell ref="G14:H14"/>
    <mergeCell ref="A6:H6"/>
    <mergeCell ref="A7:H7"/>
    <mergeCell ref="A17:B17"/>
    <mergeCell ref="D17:E17"/>
    <mergeCell ref="G17:H17"/>
    <mergeCell ref="A15:B15"/>
    <mergeCell ref="D15:E15"/>
    <mergeCell ref="G15:H15"/>
    <mergeCell ref="A16:B16"/>
    <mergeCell ref="D16:E16"/>
    <mergeCell ref="G16:H1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J69"/>
  <sheetViews>
    <sheetView showZeros="0" topLeftCell="A43" workbookViewId="0">
      <selection activeCell="H31" sqref="H31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17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7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7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7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7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4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4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</row>
    <row r="12" spans="1:9" s="170" customFormat="1">
      <c r="A12" s="1041" t="s">
        <v>431</v>
      </c>
      <c r="B12" s="1041"/>
      <c r="C12" s="1041"/>
      <c r="D12" s="1041"/>
      <c r="E12" s="1041"/>
      <c r="F12" s="1041"/>
      <c r="G12" s="1041"/>
      <c r="H12" s="1041"/>
      <c r="I12" s="574"/>
    </row>
    <row r="13" spans="1:9" s="170" customFormat="1" ht="6" customHeight="1">
      <c r="E13" s="722"/>
      <c r="F13" s="722"/>
      <c r="G13" s="722"/>
      <c r="H13" s="722"/>
      <c r="I13" s="574"/>
    </row>
    <row r="14" spans="1:9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574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68"/>
    </row>
    <row r="16" spans="1:9">
      <c r="A16" s="512" t="s">
        <v>852</v>
      </c>
      <c r="B16" s="728" t="s">
        <v>426</v>
      </c>
      <c r="C16" s="728" t="s">
        <v>368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795.9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733"/>
      <c r="F23" s="508">
        <v>214</v>
      </c>
      <c r="G23" s="508">
        <v>831</v>
      </c>
      <c r="H23" s="264"/>
    </row>
    <row r="24" spans="1:8">
      <c r="A24" s="513" t="s">
        <v>857</v>
      </c>
      <c r="B24" s="726" t="s">
        <v>426</v>
      </c>
      <c r="C24" s="726" t="s">
        <v>368</v>
      </c>
      <c r="D24" s="726" t="s">
        <v>206</v>
      </c>
      <c r="E24" s="726" t="s">
        <v>375</v>
      </c>
      <c r="F24" s="506">
        <v>220</v>
      </c>
      <c r="G24" s="506"/>
      <c r="H24" s="727">
        <f>H25+H26+H28+H32+H36</f>
        <v>795.9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 t="s">
        <v>426</v>
      </c>
      <c r="C28" s="728" t="s">
        <v>368</v>
      </c>
      <c r="D28" s="728" t="s">
        <v>206</v>
      </c>
      <c r="E28" s="728" t="s">
        <v>640</v>
      </c>
      <c r="F28" s="507">
        <v>223</v>
      </c>
      <c r="G28" s="507"/>
      <c r="H28" s="730">
        <f>SUM(H29:H31)</f>
        <v>514.9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8">
      <c r="A30" s="515" t="s">
        <v>580</v>
      </c>
      <c r="B30" s="732" t="s">
        <v>426</v>
      </c>
      <c r="C30" s="732" t="s">
        <v>368</v>
      </c>
      <c r="D30" s="732" t="s">
        <v>206</v>
      </c>
      <c r="E30" s="732" t="s">
        <v>640</v>
      </c>
      <c r="F30" s="508">
        <v>223</v>
      </c>
      <c r="G30" s="508">
        <v>730</v>
      </c>
      <c r="H30" s="264">
        <f ca="1">рБлагоус!J14</f>
        <v>514.9</v>
      </c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8">
      <c r="A32" s="514" t="s">
        <v>859</v>
      </c>
      <c r="B32" s="728" t="s">
        <v>426</v>
      </c>
      <c r="C32" s="728" t="s">
        <v>368</v>
      </c>
      <c r="D32" s="728" t="s">
        <v>206</v>
      </c>
      <c r="E32" s="728" t="s">
        <v>640</v>
      </c>
      <c r="F32" s="507">
        <v>225</v>
      </c>
      <c r="G32" s="507"/>
      <c r="H32" s="730">
        <f>SUM(H33:H35)</f>
        <v>281</v>
      </c>
    </row>
    <row r="33" spans="1:10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10" ht="24">
      <c r="A34" s="515" t="s">
        <v>860</v>
      </c>
      <c r="B34" s="732" t="s">
        <v>426</v>
      </c>
      <c r="C34" s="732" t="s">
        <v>368</v>
      </c>
      <c r="D34" s="732" t="s">
        <v>206</v>
      </c>
      <c r="E34" s="732" t="s">
        <v>640</v>
      </c>
      <c r="F34" s="508">
        <v>225</v>
      </c>
      <c r="G34" s="508" t="s">
        <v>583</v>
      </c>
      <c r="H34" s="264">
        <f ca="1">рБлагоус!J21</f>
        <v>281</v>
      </c>
      <c r="J34" s="574"/>
    </row>
    <row r="35" spans="1:10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10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>SUM(H37:H43)</f>
        <v>0</v>
      </c>
    </row>
    <row r="37" spans="1:10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69"/>
    </row>
    <row r="38" spans="1:10">
      <c r="A38" s="515" t="s">
        <v>586</v>
      </c>
      <c r="B38" s="732"/>
      <c r="C38" s="732"/>
      <c r="D38" s="732"/>
      <c r="E38" s="408"/>
      <c r="F38" s="508">
        <v>226</v>
      </c>
      <c r="G38" s="508" t="s">
        <v>587</v>
      </c>
      <c r="H38" s="264"/>
    </row>
    <row r="39" spans="1:10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10">
      <c r="A40" s="515" t="s">
        <v>573</v>
      </c>
      <c r="B40" s="732"/>
      <c r="C40" s="732"/>
      <c r="D40" s="732"/>
      <c r="E40" s="408"/>
      <c r="F40" s="508">
        <v>226</v>
      </c>
      <c r="G40" s="508">
        <v>620</v>
      </c>
      <c r="H40" s="264"/>
    </row>
    <row r="41" spans="1:10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10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10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10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10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</row>
    <row r="46" spans="1:10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</row>
    <row r="47" spans="1:10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10">
      <c r="A48" s="513" t="s">
        <v>865</v>
      </c>
      <c r="B48" s="737"/>
      <c r="C48" s="737"/>
      <c r="D48" s="737"/>
      <c r="E48" s="731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9">
      <c r="A65" s="517" t="s">
        <v>710</v>
      </c>
      <c r="B65" s="728" t="s">
        <v>426</v>
      </c>
      <c r="C65" s="728" t="s">
        <v>368</v>
      </c>
      <c r="D65" s="728" t="s">
        <v>206</v>
      </c>
      <c r="E65" s="728" t="s">
        <v>375</v>
      </c>
      <c r="F65" s="511"/>
      <c r="G65" s="511"/>
      <c r="H65" s="730">
        <f ca="1">рБлагоус!J14+рБлагоус!J21</f>
        <v>795.9</v>
      </c>
    </row>
    <row r="66" spans="1:9">
      <c r="A66" s="517" t="s">
        <v>710</v>
      </c>
      <c r="B66" s="728" t="s">
        <v>426</v>
      </c>
      <c r="C66" s="728" t="s">
        <v>368</v>
      </c>
      <c r="D66" s="728" t="s">
        <v>105</v>
      </c>
      <c r="E66" s="728" t="s">
        <v>375</v>
      </c>
      <c r="F66" s="511"/>
      <c r="G66" s="511"/>
      <c r="H66" s="730">
        <f ca="1">рБлагоус!J29</f>
        <v>0</v>
      </c>
    </row>
    <row r="67" spans="1:9">
      <c r="A67" s="517" t="s">
        <v>710</v>
      </c>
      <c r="B67" s="728" t="s">
        <v>426</v>
      </c>
      <c r="C67" s="728" t="s">
        <v>368</v>
      </c>
      <c r="D67" s="728" t="s">
        <v>122</v>
      </c>
      <c r="E67" s="728" t="s">
        <v>375</v>
      </c>
      <c r="F67" s="511"/>
      <c r="G67" s="511"/>
      <c r="H67" s="730">
        <f ca="1">рБлагоус!J37</f>
        <v>0</v>
      </c>
    </row>
    <row r="68" spans="1:9">
      <c r="A68" s="519" t="s">
        <v>602</v>
      </c>
      <c r="B68" s="728" t="s">
        <v>426</v>
      </c>
      <c r="C68" s="728" t="s">
        <v>368</v>
      </c>
      <c r="D68" s="728" t="s">
        <v>708</v>
      </c>
      <c r="E68" s="728" t="s">
        <v>570</v>
      </c>
      <c r="F68" s="518"/>
      <c r="G68" s="518"/>
      <c r="H68" s="730">
        <f>H59+H16</f>
        <v>795.9</v>
      </c>
      <c r="I68" s="574">
        <f>SUM(I16:I64)</f>
        <v>0</v>
      </c>
    </row>
    <row r="69" spans="1:9">
      <c r="A69" s="742"/>
      <c r="B69" s="743"/>
      <c r="C69" s="743"/>
      <c r="D69" s="743"/>
      <c r="E69" s="743"/>
      <c r="F69" s="743"/>
      <c r="G69" s="743"/>
      <c r="H69" s="744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92D050"/>
  </sheetPr>
  <dimension ref="A1:O43"/>
  <sheetViews>
    <sheetView workbookViewId="0">
      <selection activeCell="J10" sqref="J10:J11"/>
    </sheetView>
  </sheetViews>
  <sheetFormatPr defaultRowHeight="15"/>
  <cols>
    <col min="1" max="1" width="4" style="262" customWidth="1"/>
    <col min="2" max="2" width="24.85546875" style="262" customWidth="1"/>
    <col min="3" max="4" width="6.5703125" style="262" customWidth="1"/>
    <col min="5" max="5" width="9.28515625" style="262" customWidth="1"/>
    <col min="6" max="6" width="11" style="262" customWidth="1"/>
    <col min="7" max="7" width="9.85546875" style="262" customWidth="1"/>
    <col min="8" max="8" width="12.7109375" style="262" customWidth="1"/>
    <col min="9" max="9" width="11.7109375" style="262" customWidth="1"/>
    <col min="10" max="10" width="11.5703125" style="262" customWidth="1"/>
    <col min="11" max="11" width="12.5703125" style="262" customWidth="1"/>
    <col min="12" max="12" width="10.5703125" style="262" bestFit="1" customWidth="1"/>
    <col min="13" max="13" width="9.140625" style="262"/>
    <col min="14" max="14" width="12.140625" style="262" customWidth="1"/>
    <col min="15" max="16384" width="9.140625" style="262"/>
  </cols>
  <sheetData>
    <row r="1" spans="1:12">
      <c r="A1" s="1041" t="s">
        <v>431</v>
      </c>
      <c r="B1" s="1041"/>
      <c r="C1" s="1041"/>
      <c r="D1" s="1041"/>
      <c r="E1" s="1041"/>
      <c r="F1" s="1041"/>
      <c r="G1" s="1041"/>
      <c r="H1" s="1041"/>
      <c r="I1" s="1041"/>
      <c r="J1" s="1041"/>
    </row>
    <row r="3" spans="1:12" ht="15.75">
      <c r="A3" s="1003" t="s">
        <v>609</v>
      </c>
      <c r="B3" s="1003"/>
      <c r="C3" s="1003"/>
      <c r="D3" s="1003"/>
      <c r="E3" s="1003"/>
      <c r="F3" s="1003"/>
      <c r="G3" s="1003"/>
      <c r="H3" s="1003"/>
      <c r="I3" s="1003"/>
      <c r="J3" s="1003"/>
    </row>
    <row r="4" spans="1:12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  <c r="I4" s="1021"/>
      <c r="J4" s="1021"/>
    </row>
    <row r="5" spans="1:12" ht="15" customHeight="1">
      <c r="A5" s="186"/>
      <c r="B5" s="186"/>
      <c r="C5" s="186"/>
      <c r="D5" s="186"/>
      <c r="E5" s="186"/>
      <c r="F5" s="186"/>
      <c r="G5" s="186"/>
      <c r="H5" s="186"/>
      <c r="I5" s="186"/>
      <c r="J5" s="188"/>
    </row>
    <row r="6" spans="1:12">
      <c r="A6" s="1041" t="s">
        <v>177</v>
      </c>
      <c r="B6" s="1041"/>
      <c r="C6" s="1041"/>
      <c r="D6" s="1041"/>
      <c r="E6" s="1041"/>
      <c r="F6" s="1041"/>
      <c r="G6" s="1041"/>
      <c r="H6" s="1041"/>
      <c r="I6" s="1041"/>
      <c r="J6" s="1041"/>
    </row>
    <row r="7" spans="1:12">
      <c r="A7" s="998" t="s">
        <v>660</v>
      </c>
      <c r="B7" s="998"/>
      <c r="C7" s="998"/>
      <c r="D7" s="998"/>
      <c r="E7" s="998"/>
      <c r="F7" s="998"/>
      <c r="G7" s="998"/>
      <c r="H7" s="998"/>
      <c r="I7" s="998"/>
      <c r="J7" s="998"/>
    </row>
    <row r="8" spans="1:12" ht="24" customHeight="1">
      <c r="A8" s="157" t="s">
        <v>483</v>
      </c>
      <c r="B8" s="157" t="s">
        <v>715</v>
      </c>
      <c r="C8" s="154" t="s">
        <v>568</v>
      </c>
      <c r="D8" s="157" t="s">
        <v>614</v>
      </c>
      <c r="E8" s="157" t="s">
        <v>744</v>
      </c>
      <c r="F8" s="157" t="s">
        <v>745</v>
      </c>
      <c r="G8" s="157" t="s">
        <v>746</v>
      </c>
      <c r="H8" s="157" t="s">
        <v>735</v>
      </c>
      <c r="I8" s="268" t="s">
        <v>690</v>
      </c>
      <c r="J8" s="157" t="s">
        <v>626</v>
      </c>
    </row>
    <row r="9" spans="1:12">
      <c r="A9" s="160">
        <v>1</v>
      </c>
      <c r="B9" s="160">
        <v>2</v>
      </c>
      <c r="C9" s="160">
        <v>3</v>
      </c>
      <c r="D9" s="160">
        <v>4</v>
      </c>
      <c r="E9" s="160">
        <v>5</v>
      </c>
      <c r="F9" s="160">
        <v>6</v>
      </c>
      <c r="G9" s="160">
        <v>7</v>
      </c>
      <c r="H9" s="160">
        <v>8</v>
      </c>
      <c r="I9" s="269">
        <v>9</v>
      </c>
      <c r="J9" s="160">
        <v>10</v>
      </c>
    </row>
    <row r="10" spans="1:12" ht="15" customHeight="1">
      <c r="A10" s="1140">
        <v>1</v>
      </c>
      <c r="B10" s="1144" t="s">
        <v>742</v>
      </c>
      <c r="C10" s="1128"/>
      <c r="D10" s="1130"/>
      <c r="E10" s="243"/>
      <c r="F10" s="251">
        <v>4590</v>
      </c>
      <c r="G10" s="249">
        <v>55.87</v>
      </c>
      <c r="H10" s="249">
        <f>F10*G10</f>
        <v>256443.3</v>
      </c>
      <c r="I10" s="1136">
        <f>H10+H11</f>
        <v>514894.29999999993</v>
      </c>
      <c r="J10" s="1138">
        <f>ROUND(I10/1000,1)</f>
        <v>514.9</v>
      </c>
    </row>
    <row r="11" spans="1:12">
      <c r="A11" s="1141"/>
      <c r="B11" s="1145"/>
      <c r="C11" s="1129"/>
      <c r="D11" s="1131"/>
      <c r="E11" s="243"/>
      <c r="F11" s="251">
        <v>3910</v>
      </c>
      <c r="G11" s="249">
        <v>66.099999999999994</v>
      </c>
      <c r="H11" s="249">
        <f>F11*G11</f>
        <v>258450.99999999997</v>
      </c>
      <c r="I11" s="1137"/>
      <c r="J11" s="1139"/>
    </row>
    <row r="12" spans="1:12" ht="23.25" customHeight="1">
      <c r="A12" s="1140">
        <v>2</v>
      </c>
      <c r="B12" s="1142" t="s">
        <v>801</v>
      </c>
      <c r="C12" s="1128">
        <v>223</v>
      </c>
      <c r="D12" s="1130" t="s">
        <v>743</v>
      </c>
      <c r="E12" s="243" t="s">
        <v>692</v>
      </c>
      <c r="F12" s="251">
        <v>5000</v>
      </c>
      <c r="G12" s="249">
        <v>55.87</v>
      </c>
      <c r="H12" s="249">
        <f>F12*G12</f>
        <v>279350</v>
      </c>
      <c r="I12" s="1136">
        <f>H12+H13</f>
        <v>556970</v>
      </c>
      <c r="J12" s="1138">
        <f>ROUND(I12/1000,1)</f>
        <v>557</v>
      </c>
    </row>
    <row r="13" spans="1:12" ht="23.25" customHeight="1">
      <c r="A13" s="1141"/>
      <c r="B13" s="1143"/>
      <c r="C13" s="1129"/>
      <c r="D13" s="1131"/>
      <c r="E13" s="243" t="s">
        <v>692</v>
      </c>
      <c r="F13" s="251">
        <v>4200</v>
      </c>
      <c r="G13" s="249">
        <v>66.099999999999994</v>
      </c>
      <c r="H13" s="249">
        <f>F13*G13</f>
        <v>277620</v>
      </c>
      <c r="I13" s="1137"/>
      <c r="J13" s="1139"/>
      <c r="L13" s="470" t="s">
        <v>178</v>
      </c>
    </row>
    <row r="14" spans="1:12">
      <c r="A14" s="1059" t="s">
        <v>664</v>
      </c>
      <c r="B14" s="1059"/>
      <c r="C14" s="1059"/>
      <c r="D14" s="1059"/>
      <c r="E14" s="1059"/>
      <c r="F14" s="1059"/>
      <c r="G14" s="1059"/>
      <c r="H14" s="1059"/>
      <c r="I14" s="706">
        <f>SUM(I10:I10)</f>
        <v>514894.29999999993</v>
      </c>
      <c r="J14" s="275">
        <f>SUM(J10:J10)</f>
        <v>514.9</v>
      </c>
    </row>
    <row r="16" spans="1:12">
      <c r="A16" s="1041" t="s">
        <v>179</v>
      </c>
      <c r="B16" s="1041"/>
      <c r="C16" s="1041"/>
      <c r="D16" s="1041"/>
      <c r="E16" s="1041"/>
      <c r="F16" s="1041"/>
      <c r="G16" s="1041"/>
      <c r="H16" s="1041"/>
      <c r="I16" s="1041"/>
      <c r="J16" s="1041"/>
    </row>
    <row r="17" spans="1:11">
      <c r="A17" s="994" t="s">
        <v>733</v>
      </c>
      <c r="B17" s="994"/>
      <c r="C17" s="994"/>
      <c r="D17" s="994"/>
      <c r="E17" s="994"/>
      <c r="F17" s="994"/>
      <c r="G17" s="994"/>
      <c r="H17" s="994"/>
      <c r="I17" s="994"/>
      <c r="J17" s="994"/>
    </row>
    <row r="18" spans="1:11" ht="24" customHeight="1">
      <c r="A18" s="157" t="s">
        <v>483</v>
      </c>
      <c r="B18" s="157" t="s">
        <v>715</v>
      </c>
      <c r="C18" s="154" t="s">
        <v>568</v>
      </c>
      <c r="D18" s="157" t="s">
        <v>614</v>
      </c>
      <c r="E18" s="157" t="s">
        <v>635</v>
      </c>
      <c r="F18" s="1026" t="s">
        <v>630</v>
      </c>
      <c r="G18" s="1100"/>
      <c r="H18" s="1027"/>
      <c r="I18" s="268" t="s">
        <v>690</v>
      </c>
      <c r="J18" s="157" t="s">
        <v>626</v>
      </c>
    </row>
    <row r="19" spans="1:11">
      <c r="A19" s="160">
        <v>1</v>
      </c>
      <c r="B19" s="160">
        <v>2</v>
      </c>
      <c r="C19" s="160">
        <v>3</v>
      </c>
      <c r="D19" s="160">
        <v>4</v>
      </c>
      <c r="E19" s="160">
        <v>5</v>
      </c>
      <c r="F19" s="1132">
        <v>6</v>
      </c>
      <c r="G19" s="1133"/>
      <c r="H19" s="1134"/>
      <c r="I19" s="269">
        <v>7</v>
      </c>
      <c r="J19" s="160">
        <v>8</v>
      </c>
    </row>
    <row r="20" spans="1:11" ht="24">
      <c r="A20" s="401">
        <v>1</v>
      </c>
      <c r="B20" s="437" t="s">
        <v>64</v>
      </c>
      <c r="C20" s="157">
        <v>225</v>
      </c>
      <c r="D20" s="154">
        <v>770</v>
      </c>
      <c r="E20" s="243">
        <v>1</v>
      </c>
      <c r="F20" s="1024">
        <v>281000</v>
      </c>
      <c r="G20" s="1135"/>
      <c r="H20" s="1025"/>
      <c r="I20" s="854">
        <f>E20*F20</f>
        <v>281000</v>
      </c>
      <c r="J20" s="855">
        <f>ROUND(I20/1000,1)</f>
        <v>281</v>
      </c>
      <c r="K20" s="827"/>
    </row>
    <row r="21" spans="1:11">
      <c r="A21" s="1059" t="s">
        <v>671</v>
      </c>
      <c r="B21" s="1059"/>
      <c r="C21" s="1059"/>
      <c r="D21" s="1059"/>
      <c r="E21" s="1059"/>
      <c r="F21" s="1059"/>
      <c r="G21" s="1059"/>
      <c r="H21" s="1059"/>
      <c r="I21" s="706">
        <f>SUM(I20:I20)</f>
        <v>281000</v>
      </c>
      <c r="J21" s="275">
        <f>SUM(J20:J20)</f>
        <v>281</v>
      </c>
    </row>
    <row r="24" spans="1:11">
      <c r="A24" s="1041" t="s">
        <v>108</v>
      </c>
      <c r="B24" s="1041"/>
      <c r="C24" s="1041"/>
      <c r="D24" s="1041"/>
      <c r="E24" s="1041"/>
      <c r="F24" s="1041"/>
      <c r="G24" s="1041"/>
      <c r="H24" s="1041"/>
      <c r="I24" s="1041"/>
      <c r="J24" s="1041"/>
    </row>
    <row r="25" spans="1:11">
      <c r="A25" s="994" t="s">
        <v>733</v>
      </c>
      <c r="B25" s="994"/>
      <c r="C25" s="994"/>
      <c r="D25" s="994"/>
      <c r="E25" s="994"/>
      <c r="F25" s="994"/>
      <c r="G25" s="994"/>
      <c r="H25" s="994"/>
      <c r="I25" s="994"/>
      <c r="J25" s="994"/>
    </row>
    <row r="26" spans="1:11" ht="24">
      <c r="A26" s="157" t="s">
        <v>483</v>
      </c>
      <c r="B26" s="157" t="s">
        <v>715</v>
      </c>
      <c r="C26" s="154" t="s">
        <v>568</v>
      </c>
      <c r="D26" s="157" t="s">
        <v>614</v>
      </c>
      <c r="E26" s="157" t="s">
        <v>635</v>
      </c>
      <c r="F26" s="1026" t="s">
        <v>630</v>
      </c>
      <c r="G26" s="1100"/>
      <c r="H26" s="1027"/>
      <c r="I26" s="268" t="s">
        <v>690</v>
      </c>
      <c r="J26" s="157" t="s">
        <v>626</v>
      </c>
    </row>
    <row r="27" spans="1:11">
      <c r="A27" s="160">
        <v>1</v>
      </c>
      <c r="B27" s="160">
        <v>2</v>
      </c>
      <c r="C27" s="160">
        <v>3</v>
      </c>
      <c r="D27" s="160">
        <v>4</v>
      </c>
      <c r="E27" s="160">
        <v>5</v>
      </c>
      <c r="F27" s="1132">
        <v>6</v>
      </c>
      <c r="G27" s="1133"/>
      <c r="H27" s="1134"/>
      <c r="I27" s="269">
        <v>7</v>
      </c>
      <c r="J27" s="160">
        <v>8</v>
      </c>
    </row>
    <row r="28" spans="1:11" ht="24">
      <c r="A28" s="401">
        <v>1</v>
      </c>
      <c r="B28" s="437" t="s">
        <v>104</v>
      </c>
      <c r="C28" s="157">
        <v>225</v>
      </c>
      <c r="D28" s="154">
        <v>770</v>
      </c>
      <c r="E28" s="243">
        <v>0</v>
      </c>
      <c r="F28" s="1024">
        <v>10500</v>
      </c>
      <c r="G28" s="1135"/>
      <c r="H28" s="1025"/>
      <c r="I28" s="817">
        <f>E28*F28</f>
        <v>0</v>
      </c>
      <c r="J28" s="404">
        <f>ROUND(I28/1000,1)</f>
        <v>0</v>
      </c>
    </row>
    <row r="29" spans="1:11">
      <c r="A29" s="1059" t="s">
        <v>671</v>
      </c>
      <c r="B29" s="1059"/>
      <c r="C29" s="1059"/>
      <c r="D29" s="1059"/>
      <c r="E29" s="1059"/>
      <c r="F29" s="1059"/>
      <c r="G29" s="1059"/>
      <c r="H29" s="1059"/>
      <c r="I29" s="706">
        <f>SUM(I28:I28)</f>
        <v>0</v>
      </c>
      <c r="J29" s="275">
        <f>SUM(J28:J28)</f>
        <v>0</v>
      </c>
    </row>
    <row r="32" spans="1:11">
      <c r="A32" s="1041" t="s">
        <v>114</v>
      </c>
      <c r="B32" s="1041"/>
      <c r="C32" s="1041"/>
      <c r="D32" s="1041"/>
      <c r="E32" s="1041"/>
      <c r="F32" s="1041"/>
      <c r="G32" s="1041"/>
      <c r="H32" s="1041"/>
      <c r="I32" s="1041"/>
      <c r="J32" s="1041"/>
    </row>
    <row r="33" spans="1:15">
      <c r="A33" s="994" t="s">
        <v>733</v>
      </c>
      <c r="B33" s="994"/>
      <c r="C33" s="994"/>
      <c r="D33" s="994"/>
      <c r="E33" s="994"/>
      <c r="F33" s="994"/>
      <c r="G33" s="994"/>
      <c r="H33" s="994"/>
      <c r="I33" s="994"/>
      <c r="J33" s="994"/>
    </row>
    <row r="34" spans="1:15" ht="24">
      <c r="A34" s="157" t="s">
        <v>483</v>
      </c>
      <c r="B34" s="157" t="s">
        <v>715</v>
      </c>
      <c r="C34" s="154" t="s">
        <v>568</v>
      </c>
      <c r="D34" s="157" t="s">
        <v>614</v>
      </c>
      <c r="E34" s="157" t="s">
        <v>635</v>
      </c>
      <c r="F34" s="1026" t="s">
        <v>630</v>
      </c>
      <c r="G34" s="1100"/>
      <c r="H34" s="1027"/>
      <c r="I34" s="268" t="s">
        <v>690</v>
      </c>
      <c r="J34" s="157" t="s">
        <v>626</v>
      </c>
    </row>
    <row r="35" spans="1:15">
      <c r="A35" s="160">
        <v>1</v>
      </c>
      <c r="B35" s="160">
        <v>2</v>
      </c>
      <c r="C35" s="160">
        <v>3</v>
      </c>
      <c r="D35" s="160">
        <v>4</v>
      </c>
      <c r="E35" s="160">
        <v>5</v>
      </c>
      <c r="F35" s="1132">
        <v>6</v>
      </c>
      <c r="G35" s="1133"/>
      <c r="H35" s="1134"/>
      <c r="I35" s="269">
        <v>7</v>
      </c>
      <c r="J35" s="160">
        <v>8</v>
      </c>
    </row>
    <row r="36" spans="1:15" ht="36">
      <c r="A36" s="401">
        <v>1</v>
      </c>
      <c r="B36" s="437" t="s">
        <v>115</v>
      </c>
      <c r="C36" s="157">
        <v>225</v>
      </c>
      <c r="D36" s="154">
        <v>770</v>
      </c>
      <c r="E36" s="243">
        <v>0</v>
      </c>
      <c r="F36" s="1024">
        <v>31150</v>
      </c>
      <c r="G36" s="1135"/>
      <c r="H36" s="1025"/>
      <c r="I36" s="854">
        <f>E36*F36</f>
        <v>0</v>
      </c>
      <c r="J36" s="855">
        <f>ROUND(I36/1000,1)</f>
        <v>0</v>
      </c>
      <c r="K36" s="826"/>
    </row>
    <row r="37" spans="1:15">
      <c r="A37" s="1059" t="s">
        <v>671</v>
      </c>
      <c r="B37" s="1059"/>
      <c r="C37" s="1059"/>
      <c r="D37" s="1059"/>
      <c r="E37" s="1059"/>
      <c r="F37" s="1059"/>
      <c r="G37" s="1059"/>
      <c r="H37" s="1059"/>
      <c r="I37" s="706">
        <f>SUM(I36:I36)</f>
        <v>0</v>
      </c>
      <c r="J37" s="275">
        <f>SUM(J36:J36)</f>
        <v>0</v>
      </c>
    </row>
    <row r="40" spans="1:15" s="139" customFormat="1">
      <c r="B40" s="992" t="s">
        <v>621</v>
      </c>
      <c r="C40" s="992"/>
      <c r="D40" s="162"/>
      <c r="E40" s="993"/>
      <c r="F40" s="993"/>
      <c r="G40" s="162"/>
      <c r="H40" s="993" t="str">
        <f ca="1">рВДЛ!G29</f>
        <v>М.В. Златова</v>
      </c>
      <c r="I40" s="993"/>
      <c r="L40" s="140"/>
      <c r="M40" s="140"/>
      <c r="N40" s="140"/>
      <c r="O40" s="140"/>
    </row>
    <row r="41" spans="1:15" s="139" customFormat="1">
      <c r="B41" s="1001" t="s">
        <v>554</v>
      </c>
      <c r="C41" s="1001"/>
      <c r="D41" s="163"/>
      <c r="E41" s="1001" t="s">
        <v>555</v>
      </c>
      <c r="F41" s="1001"/>
      <c r="G41" s="163"/>
      <c r="H41" s="1002" t="s">
        <v>556</v>
      </c>
      <c r="I41" s="1002"/>
    </row>
    <row r="42" spans="1:15" s="139" customFormat="1">
      <c r="B42" s="992" t="str">
        <f ca="1">рВДЛ!A31</f>
        <v>Исполнитель: финансист</v>
      </c>
      <c r="C42" s="992"/>
      <c r="D42" s="162"/>
      <c r="E42" s="993"/>
      <c r="F42" s="993"/>
      <c r="G42" s="162"/>
      <c r="H42" s="993" t="str">
        <f ca="1">рВДЛ!G31</f>
        <v>Е.Н. Рыбалка</v>
      </c>
      <c r="I42" s="993"/>
    </row>
    <row r="43" spans="1:15" s="139" customFormat="1">
      <c r="B43" s="1001" t="s">
        <v>554</v>
      </c>
      <c r="C43" s="1001"/>
      <c r="D43" s="163"/>
      <c r="E43" s="1001" t="s">
        <v>555</v>
      </c>
      <c r="F43" s="1001"/>
      <c r="G43" s="163"/>
      <c r="H43" s="1002" t="s">
        <v>556</v>
      </c>
      <c r="I43" s="1002"/>
    </row>
  </sheetData>
  <mergeCells count="48">
    <mergeCell ref="A1:J1"/>
    <mergeCell ref="A3:J3"/>
    <mergeCell ref="A4:J4"/>
    <mergeCell ref="F20:H20"/>
    <mergeCell ref="A12:A13"/>
    <mergeCell ref="B12:B13"/>
    <mergeCell ref="D10:D11"/>
    <mergeCell ref="C10:C11"/>
    <mergeCell ref="B10:B11"/>
    <mergeCell ref="A10:A11"/>
    <mergeCell ref="A21:H21"/>
    <mergeCell ref="F18:H18"/>
    <mergeCell ref="F19:H19"/>
    <mergeCell ref="A6:J6"/>
    <mergeCell ref="A7:J7"/>
    <mergeCell ref="I12:I13"/>
    <mergeCell ref="J12:J13"/>
    <mergeCell ref="J10:J11"/>
    <mergeCell ref="I10:I11"/>
    <mergeCell ref="A16:J16"/>
    <mergeCell ref="A24:J24"/>
    <mergeCell ref="A25:J25"/>
    <mergeCell ref="F26:H26"/>
    <mergeCell ref="F28:H28"/>
    <mergeCell ref="B41:C41"/>
    <mergeCell ref="E41:F41"/>
    <mergeCell ref="E40:F40"/>
    <mergeCell ref="H40:I40"/>
    <mergeCell ref="A14:H14"/>
    <mergeCell ref="A17:J17"/>
    <mergeCell ref="F35:H35"/>
    <mergeCell ref="F36:H36"/>
    <mergeCell ref="A37:H37"/>
    <mergeCell ref="F27:H27"/>
    <mergeCell ref="A29:H29"/>
    <mergeCell ref="A32:J32"/>
    <mergeCell ref="A33:J33"/>
    <mergeCell ref="F34:H34"/>
    <mergeCell ref="C12:C13"/>
    <mergeCell ref="D12:D13"/>
    <mergeCell ref="E43:F43"/>
    <mergeCell ref="H43:I43"/>
    <mergeCell ref="H41:I41"/>
    <mergeCell ref="B42:C42"/>
    <mergeCell ref="E42:F42"/>
    <mergeCell ref="H42:I42"/>
    <mergeCell ref="B43:C43"/>
    <mergeCell ref="B40:C40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O249"/>
  <sheetViews>
    <sheetView topLeftCell="A199" workbookViewId="0">
      <selection activeCell="L49" sqref="L49"/>
    </sheetView>
  </sheetViews>
  <sheetFormatPr defaultRowHeight="15"/>
  <cols>
    <col min="1" max="1" width="14.85546875" style="262" customWidth="1"/>
    <col min="2" max="2" width="35" style="262" customWidth="1"/>
    <col min="3" max="3" width="15.140625" style="262" customWidth="1"/>
    <col min="4" max="4" width="16.5703125" style="262" customWidth="1"/>
    <col min="5" max="9" width="13.7109375" style="262" customWidth="1"/>
    <col min="10" max="11" width="11.7109375" style="262" customWidth="1"/>
    <col min="12" max="12" width="11.7109375" style="262" bestFit="1" customWidth="1"/>
    <col min="13" max="13" width="13" style="262" customWidth="1"/>
    <col min="14" max="14" width="12" style="262" customWidth="1"/>
    <col min="15" max="16384" width="9.140625" style="262"/>
  </cols>
  <sheetData>
    <row r="1" spans="1:15" ht="19.5" customHeight="1">
      <c r="A1" s="935" t="s">
        <v>459</v>
      </c>
      <c r="B1" s="935"/>
      <c r="C1" s="935"/>
      <c r="D1" s="935"/>
      <c r="E1" s="935"/>
      <c r="F1" s="935"/>
    </row>
    <row r="2" spans="1:15" ht="18.75" customHeight="1">
      <c r="A2" s="935" t="s">
        <v>124</v>
      </c>
      <c r="B2" s="935"/>
      <c r="C2" s="935"/>
      <c r="D2" s="935"/>
      <c r="E2" s="935"/>
      <c r="F2" s="935"/>
      <c r="L2" s="934"/>
      <c r="M2" s="934"/>
      <c r="N2" s="934"/>
      <c r="O2" s="934"/>
    </row>
    <row r="3" spans="1:15" ht="12.75" customHeight="1">
      <c r="A3" s="286"/>
      <c r="B3" s="286"/>
      <c r="L3" s="934"/>
      <c r="M3" s="934"/>
      <c r="N3" s="934"/>
      <c r="O3" s="934"/>
    </row>
    <row r="4" spans="1:15" ht="17.25" customHeight="1">
      <c r="A4" s="935" t="s">
        <v>460</v>
      </c>
      <c r="B4" s="935"/>
      <c r="C4" s="935"/>
      <c r="D4" s="935"/>
      <c r="E4" s="935"/>
      <c r="F4" s="935"/>
      <c r="L4" s="934"/>
      <c r="M4" s="934"/>
      <c r="N4" s="934"/>
      <c r="O4" s="934"/>
    </row>
    <row r="5" spans="1:15" ht="18.75" customHeight="1">
      <c r="A5" s="287" t="s">
        <v>461</v>
      </c>
      <c r="B5" s="286"/>
      <c r="L5" s="224"/>
      <c r="M5" s="224"/>
      <c r="N5" s="224"/>
      <c r="O5" s="224"/>
    </row>
    <row r="6" spans="1:15" ht="11.25" customHeight="1">
      <c r="A6" s="286"/>
      <c r="B6" s="286"/>
      <c r="C6" s="286"/>
      <c r="L6" s="224"/>
      <c r="M6" s="224"/>
      <c r="N6" s="224"/>
      <c r="O6" s="224"/>
    </row>
    <row r="7" spans="1:15" ht="71.25" customHeight="1">
      <c r="A7" s="175" t="s">
        <v>259</v>
      </c>
      <c r="B7" s="164" t="s">
        <v>260</v>
      </c>
      <c r="C7" s="288" t="s">
        <v>125</v>
      </c>
      <c r="D7" s="288" t="s">
        <v>126</v>
      </c>
      <c r="E7" s="288" t="s">
        <v>127</v>
      </c>
      <c r="F7" s="288" t="s">
        <v>128</v>
      </c>
      <c r="H7" s="483"/>
      <c r="L7" s="224"/>
      <c r="M7" s="224"/>
      <c r="N7" s="224"/>
      <c r="O7" s="224"/>
    </row>
    <row r="8" spans="1:15" ht="25.5" customHeight="1">
      <c r="A8" s="289" t="s">
        <v>267</v>
      </c>
      <c r="B8" s="167" t="s">
        <v>268</v>
      </c>
      <c r="C8" s="290">
        <f>F15</f>
        <v>1149527.6599999999</v>
      </c>
      <c r="D8" s="290">
        <f>F16</f>
        <v>1379433.19</v>
      </c>
      <c r="E8" s="291">
        <f>F17</f>
        <v>1471717.27</v>
      </c>
      <c r="F8" s="436">
        <f>ROUND(E8/1000,1)</f>
        <v>1471.7</v>
      </c>
    </row>
    <row r="9" spans="1:15" ht="14.25" customHeight="1">
      <c r="A9" s="292"/>
      <c r="B9" s="293"/>
      <c r="C9" s="294"/>
      <c r="D9" s="295"/>
      <c r="E9" s="295"/>
      <c r="F9" s="296"/>
    </row>
    <row r="10" spans="1:15" ht="20.25" customHeight="1">
      <c r="A10" s="297"/>
      <c r="B10" s="927" t="s">
        <v>462</v>
      </c>
      <c r="C10" s="927"/>
      <c r="D10" s="927"/>
      <c r="E10" s="927"/>
      <c r="F10" s="927"/>
    </row>
    <row r="11" spans="1:15" ht="27.75" customHeight="1">
      <c r="A11" s="300"/>
      <c r="B11" s="301" t="s">
        <v>463</v>
      </c>
      <c r="C11" s="301" t="s">
        <v>464</v>
      </c>
      <c r="D11" s="175" t="s">
        <v>465</v>
      </c>
      <c r="E11" s="302" t="s">
        <v>466</v>
      </c>
      <c r="F11" s="303" t="s">
        <v>467</v>
      </c>
      <c r="H11" s="962" t="s">
        <v>834</v>
      </c>
      <c r="I11" s="962"/>
      <c r="L11" s="280"/>
      <c r="M11" s="280"/>
      <c r="N11" s="280"/>
      <c r="O11" s="280"/>
    </row>
    <row r="12" spans="1:15">
      <c r="A12" s="300"/>
      <c r="B12" s="931" t="s">
        <v>468</v>
      </c>
      <c r="C12" s="301">
        <v>2017</v>
      </c>
      <c r="D12" s="304">
        <v>7</v>
      </c>
      <c r="E12" s="305">
        <f>F12*100/D12</f>
        <v>22860943.714285713</v>
      </c>
      <c r="F12" s="305">
        <v>1600266.06</v>
      </c>
      <c r="H12" s="962"/>
      <c r="I12" s="962"/>
      <c r="L12" s="280"/>
      <c r="M12" s="280"/>
      <c r="N12" s="280"/>
      <c r="O12" s="280"/>
    </row>
    <row r="13" spans="1:15">
      <c r="A13" s="300"/>
      <c r="B13" s="932"/>
      <c r="C13" s="301">
        <v>2018</v>
      </c>
      <c r="D13" s="304">
        <v>7</v>
      </c>
      <c r="E13" s="305">
        <f>F13*100/D13</f>
        <v>20559909.142857142</v>
      </c>
      <c r="F13" s="305">
        <v>1439193.64</v>
      </c>
      <c r="H13" s="484" t="s">
        <v>831</v>
      </c>
      <c r="I13" s="485">
        <v>6.3399999999999998E-2</v>
      </c>
      <c r="L13" s="280"/>
      <c r="M13" s="280"/>
      <c r="N13" s="280"/>
      <c r="O13" s="280"/>
    </row>
    <row r="14" spans="1:15">
      <c r="A14" s="300"/>
      <c r="B14" s="933"/>
      <c r="C14" s="301">
        <v>2019</v>
      </c>
      <c r="D14" s="304">
        <v>7</v>
      </c>
      <c r="E14" s="305">
        <f>F14*100/D14</f>
        <v>19983443.428571433</v>
      </c>
      <c r="F14" s="305">
        <v>1398841.0400000003</v>
      </c>
      <c r="H14" s="484" t="s">
        <v>832</v>
      </c>
      <c r="I14" s="485">
        <v>5.8999999999999997E-2</v>
      </c>
      <c r="L14" s="280"/>
      <c r="M14" s="280"/>
      <c r="N14" s="280"/>
      <c r="O14" s="280"/>
    </row>
    <row r="15" spans="1:15">
      <c r="A15" s="300"/>
      <c r="B15" s="308" t="s">
        <v>129</v>
      </c>
      <c r="C15" s="926">
        <v>2020</v>
      </c>
      <c r="D15" s="304">
        <v>7</v>
      </c>
      <c r="E15" s="305">
        <f>F15*100/D15</f>
        <v>16421823.714285713</v>
      </c>
      <c r="F15" s="486">
        <v>1149527.6599999999</v>
      </c>
      <c r="H15" s="484" t="s">
        <v>833</v>
      </c>
      <c r="I15" s="485">
        <v>6.6900000000000001E-2</v>
      </c>
      <c r="L15" s="280"/>
      <c r="M15" s="280"/>
      <c r="N15" s="280"/>
      <c r="O15" s="280"/>
    </row>
    <row r="16" spans="1:15">
      <c r="A16" s="300"/>
      <c r="B16" s="311" t="s">
        <v>469</v>
      </c>
      <c r="C16" s="926"/>
      <c r="D16" s="304">
        <v>7</v>
      </c>
      <c r="E16" s="305">
        <f>F16*100/D16</f>
        <v>19706188.428571429</v>
      </c>
      <c r="F16" s="435">
        <f>ROUND(F15/10*12,2)</f>
        <v>1379433.19</v>
      </c>
      <c r="L16" s="280"/>
      <c r="M16" s="280"/>
      <c r="N16" s="280"/>
      <c r="O16" s="280"/>
    </row>
    <row r="17" spans="1:9">
      <c r="A17" s="300"/>
      <c r="B17" s="928" t="s">
        <v>470</v>
      </c>
      <c r="C17" s="923">
        <v>2021</v>
      </c>
      <c r="D17" s="304">
        <v>7</v>
      </c>
      <c r="E17" s="313">
        <f>E16*F18</f>
        <v>21024532.434442855</v>
      </c>
      <c r="F17" s="313">
        <f>ROUND(E17*D17%,2)</f>
        <v>1471717.27</v>
      </c>
    </row>
    <row r="18" spans="1:9" ht="24.75" customHeight="1">
      <c r="A18" s="300"/>
      <c r="B18" s="928"/>
      <c r="C18" s="923"/>
      <c r="D18" s="929" t="s">
        <v>834</v>
      </c>
      <c r="E18" s="930"/>
      <c r="F18" s="487">
        <v>1.0669</v>
      </c>
      <c r="G18" s="314"/>
    </row>
    <row r="19" spans="1:9">
      <c r="A19" s="300"/>
      <c r="B19" s="315"/>
      <c r="C19" s="316"/>
      <c r="D19" s="272"/>
      <c r="E19" s="317"/>
      <c r="F19" s="293"/>
    </row>
    <row r="20" spans="1:9">
      <c r="A20" s="300"/>
      <c r="B20" s="315"/>
      <c r="C20" s="298">
        <v>2011</v>
      </c>
      <c r="D20" s="299">
        <f>ROUND(1317903.45/1000,1)</f>
        <v>1317.9</v>
      </c>
      <c r="E20" s="317"/>
      <c r="F20" s="293"/>
      <c r="H20" s="309"/>
      <c r="I20" s="310"/>
    </row>
    <row r="21" spans="1:9">
      <c r="A21" s="300"/>
      <c r="B21" s="315"/>
      <c r="C21" s="298">
        <v>2012</v>
      </c>
      <c r="D21" s="299">
        <f>ROUND(1691809.88/1000,1)</f>
        <v>1691.8</v>
      </c>
      <c r="E21" s="317"/>
      <c r="F21" s="293"/>
      <c r="H21" s="309"/>
      <c r="I21" s="310"/>
    </row>
    <row r="22" spans="1:9">
      <c r="A22" s="300"/>
      <c r="B22" s="315"/>
      <c r="C22" s="298">
        <v>2013</v>
      </c>
      <c r="D22" s="299">
        <f>ROUND(1718138.62/1000,1)</f>
        <v>1718.1</v>
      </c>
      <c r="E22" s="317"/>
      <c r="F22" s="293"/>
      <c r="H22" s="309"/>
      <c r="I22" s="310"/>
    </row>
    <row r="23" spans="1:9">
      <c r="A23" s="300"/>
      <c r="B23" s="315"/>
      <c r="C23" s="306">
        <v>2014</v>
      </c>
      <c r="D23" s="307">
        <f>ROUND(2814407.41/1000,1)</f>
        <v>2814.4</v>
      </c>
      <c r="E23" s="317"/>
      <c r="F23" s="293"/>
      <c r="H23" s="309"/>
      <c r="I23" s="310"/>
    </row>
    <row r="24" spans="1:9">
      <c r="A24" s="300"/>
      <c r="B24" s="315"/>
      <c r="C24" s="309">
        <v>2015</v>
      </c>
      <c r="D24" s="310">
        <f>ROUND(1628617.18/1000,1)</f>
        <v>1628.6</v>
      </c>
      <c r="E24" s="317"/>
      <c r="F24" s="293"/>
      <c r="H24" s="309"/>
      <c r="I24" s="310"/>
    </row>
    <row r="25" spans="1:9">
      <c r="A25" s="300"/>
      <c r="B25" s="315"/>
      <c r="C25" s="312">
        <v>2016</v>
      </c>
      <c r="D25" s="310">
        <f>ROUND(1409720.35/1000,1)</f>
        <v>1409.7</v>
      </c>
      <c r="E25" s="317"/>
      <c r="F25" s="293"/>
      <c r="H25" s="309"/>
      <c r="I25" s="310"/>
    </row>
    <row r="26" spans="1:9">
      <c r="A26" s="300"/>
      <c r="B26" s="315"/>
      <c r="C26" s="309">
        <v>2017</v>
      </c>
      <c r="D26" s="310">
        <f>ROUND(1600266.06/1000,1)</f>
        <v>1600.3</v>
      </c>
      <c r="E26" s="317"/>
      <c r="F26" s="293"/>
      <c r="H26" s="309"/>
      <c r="I26" s="310"/>
    </row>
    <row r="27" spans="1:9">
      <c r="A27" s="300"/>
      <c r="B27" s="315"/>
      <c r="C27" s="309">
        <v>2018</v>
      </c>
      <c r="D27" s="310">
        <f>ROUND(1439193.64/1000,1)</f>
        <v>1439.2</v>
      </c>
      <c r="E27" s="317"/>
      <c r="F27" s="293"/>
      <c r="H27" s="309"/>
      <c r="I27" s="310"/>
    </row>
    <row r="28" spans="1:9">
      <c r="A28" s="300"/>
      <c r="B28" s="315"/>
      <c r="C28" s="309">
        <v>2019</v>
      </c>
      <c r="D28" s="310">
        <f>ROUND(1398841.04/1000,1)</f>
        <v>1398.8</v>
      </c>
      <c r="E28" s="317"/>
      <c r="F28" s="293"/>
      <c r="H28" s="309"/>
      <c r="I28" s="310"/>
    </row>
    <row r="29" spans="1:9">
      <c r="A29" s="300"/>
      <c r="B29" s="315"/>
      <c r="C29" s="309">
        <v>2020</v>
      </c>
      <c r="D29" s="310">
        <f>ROUND(F16/1000,1)</f>
        <v>1379.4</v>
      </c>
      <c r="E29" s="317"/>
      <c r="F29" s="293"/>
      <c r="H29" s="309"/>
      <c r="I29" s="310"/>
    </row>
    <row r="30" spans="1:9">
      <c r="A30" s="300"/>
      <c r="B30" s="315"/>
      <c r="C30" s="309">
        <v>2021</v>
      </c>
      <c r="D30" s="310">
        <f>ROUND(F17/1000,1)</f>
        <v>1471.7</v>
      </c>
      <c r="E30" s="317"/>
      <c r="F30" s="293"/>
      <c r="H30" s="309"/>
      <c r="I30" s="310"/>
    </row>
    <row r="31" spans="1:9">
      <c r="A31" s="300"/>
      <c r="B31" s="315"/>
      <c r="C31" s="309"/>
      <c r="D31" s="310"/>
      <c r="E31" s="317"/>
      <c r="F31" s="293"/>
      <c r="H31" s="309"/>
      <c r="I31" s="310"/>
    </row>
    <row r="32" spans="1:9">
      <c r="A32" s="300"/>
      <c r="B32" s="315"/>
      <c r="C32" s="309"/>
      <c r="D32" s="310"/>
      <c r="E32" s="317"/>
      <c r="F32" s="293"/>
      <c r="H32" s="309"/>
      <c r="I32" s="310"/>
    </row>
    <row r="33" spans="1:14">
      <c r="A33" s="300"/>
      <c r="B33" s="315"/>
      <c r="C33" s="309"/>
      <c r="D33" s="310"/>
      <c r="E33" s="317"/>
      <c r="F33" s="293"/>
      <c r="H33" s="309"/>
      <c r="I33" s="310"/>
    </row>
    <row r="34" spans="1:14">
      <c r="A34" s="300"/>
      <c r="B34" s="315"/>
      <c r="C34" s="309"/>
      <c r="D34" s="310"/>
      <c r="E34" s="317"/>
      <c r="F34" s="293"/>
      <c r="H34" s="309"/>
      <c r="I34" s="310"/>
    </row>
    <row r="35" spans="1:14">
      <c r="A35" s="300"/>
      <c r="B35" s="315"/>
      <c r="C35" s="309"/>
      <c r="D35" s="310"/>
      <c r="E35" s="317"/>
      <c r="F35" s="293"/>
      <c r="H35" s="309"/>
      <c r="I35" s="310"/>
    </row>
    <row r="36" spans="1:14" ht="15" customHeight="1">
      <c r="A36" s="964" t="s">
        <v>835</v>
      </c>
      <c r="B36" s="964"/>
      <c r="C36" s="964"/>
      <c r="D36" s="964"/>
      <c r="E36" s="964"/>
      <c r="F36" s="964"/>
      <c r="H36" s="309"/>
      <c r="I36" s="310"/>
    </row>
    <row r="37" spans="1:14">
      <c r="A37" s="493"/>
      <c r="B37" s="494"/>
      <c r="C37" s="495"/>
      <c r="D37" s="490"/>
      <c r="E37" s="496"/>
      <c r="F37" s="497"/>
      <c r="H37" s="309"/>
      <c r="I37" s="310"/>
    </row>
    <row r="38" spans="1:14" ht="15" customHeight="1">
      <c r="A38" s="493"/>
      <c r="B38" s="488" t="s">
        <v>826</v>
      </c>
      <c r="C38" s="489">
        <v>833.7</v>
      </c>
      <c r="D38" s="490"/>
      <c r="E38" s="963" t="s">
        <v>834</v>
      </c>
      <c r="F38" s="963"/>
      <c r="G38" s="297"/>
      <c r="H38" s="297"/>
      <c r="I38" s="310"/>
    </row>
    <row r="39" spans="1:14">
      <c r="A39" s="493"/>
      <c r="B39" s="488" t="s">
        <v>827</v>
      </c>
      <c r="C39" s="489">
        <v>1603.3</v>
      </c>
      <c r="D39" s="490"/>
      <c r="E39" s="963"/>
      <c r="F39" s="963"/>
      <c r="H39" s="309"/>
      <c r="I39" s="310"/>
    </row>
    <row r="40" spans="1:14" ht="25.5">
      <c r="A40" s="493"/>
      <c r="B40" s="488" t="s">
        <v>830</v>
      </c>
      <c r="C40" s="489">
        <f>C38/C39</f>
        <v>0.51999002058254851</v>
      </c>
      <c r="D40" s="490"/>
      <c r="E40" s="491" t="s">
        <v>831</v>
      </c>
      <c r="F40" s="492">
        <v>5.2400000000000002E-2</v>
      </c>
      <c r="H40" s="309"/>
      <c r="I40" s="310"/>
    </row>
    <row r="41" spans="1:14">
      <c r="A41" s="493"/>
      <c r="B41" s="488" t="s">
        <v>828</v>
      </c>
      <c r="C41" s="489">
        <v>782.7</v>
      </c>
      <c r="D41" s="490"/>
      <c r="E41" s="491" t="s">
        <v>832</v>
      </c>
      <c r="F41" s="492">
        <v>5.4800000000000001E-2</v>
      </c>
      <c r="H41" s="309"/>
      <c r="I41" s="310"/>
    </row>
    <row r="42" spans="1:14">
      <c r="A42" s="493"/>
      <c r="B42" s="488" t="s">
        <v>829</v>
      </c>
      <c r="C42" s="489">
        <f>ROUND(C41/C40,1)</f>
        <v>1505.2</v>
      </c>
      <c r="D42" s="490"/>
      <c r="E42" s="491" t="s">
        <v>833</v>
      </c>
      <c r="F42" s="492">
        <v>6.6900000000000001E-2</v>
      </c>
      <c r="H42" s="309"/>
      <c r="I42" s="310"/>
    </row>
    <row r="43" spans="1:14">
      <c r="A43" s="300"/>
      <c r="B43" s="315"/>
      <c r="C43" s="309"/>
      <c r="D43" s="310"/>
      <c r="E43" s="317"/>
      <c r="F43" s="293"/>
      <c r="H43" s="309"/>
      <c r="I43" s="310"/>
    </row>
    <row r="44" spans="1:14">
      <c r="A44" s="300"/>
      <c r="B44" s="315"/>
      <c r="C44" s="309"/>
      <c r="D44" s="310"/>
      <c r="E44" s="317"/>
      <c r="F44" s="293"/>
      <c r="H44" s="309"/>
      <c r="I44" s="310"/>
    </row>
    <row r="45" spans="1:14">
      <c r="A45" s="938" t="s">
        <v>471</v>
      </c>
      <c r="B45" s="938"/>
      <c r="C45" s="938"/>
      <c r="D45" s="938"/>
      <c r="E45" s="938"/>
      <c r="F45" s="938"/>
      <c r="H45" s="318"/>
      <c r="I45" s="309"/>
      <c r="J45" s="310"/>
    </row>
    <row r="46" spans="1:14">
      <c r="A46" s="610"/>
      <c r="B46" s="610"/>
      <c r="C46" s="610"/>
      <c r="D46" s="610"/>
      <c r="E46" s="610"/>
      <c r="F46" s="610"/>
      <c r="H46" s="318"/>
      <c r="I46" s="309"/>
      <c r="J46" s="310"/>
    </row>
    <row r="47" spans="1:14" ht="15" customHeight="1">
      <c r="A47" s="966" t="s">
        <v>242</v>
      </c>
      <c r="B47" s="966"/>
      <c r="C47" s="966"/>
      <c r="D47" s="966"/>
      <c r="E47" s="470" t="s">
        <v>243</v>
      </c>
      <c r="F47" s="886"/>
      <c r="G47" s="470"/>
      <c r="H47" s="318"/>
      <c r="I47" s="309"/>
      <c r="J47" s="310"/>
    </row>
    <row r="48" spans="1:14" ht="66.75" customHeight="1">
      <c r="A48" s="175" t="s">
        <v>259</v>
      </c>
      <c r="B48" s="164" t="s">
        <v>260</v>
      </c>
      <c r="C48" s="322" t="s">
        <v>130</v>
      </c>
      <c r="D48" s="322" t="s">
        <v>472</v>
      </c>
      <c r="E48" s="322" t="s">
        <v>919</v>
      </c>
      <c r="F48" s="322" t="s">
        <v>131</v>
      </c>
      <c r="H48" s="571"/>
      <c r="I48" s="470"/>
      <c r="J48" s="573"/>
      <c r="K48" s="580" t="s">
        <v>88</v>
      </c>
      <c r="L48" s="580" t="s">
        <v>920</v>
      </c>
      <c r="M48" s="580" t="s">
        <v>921</v>
      </c>
      <c r="N48" s="580" t="s">
        <v>132</v>
      </c>
    </row>
    <row r="49" spans="1:14" ht="67.5">
      <c r="A49" s="323" t="s">
        <v>473</v>
      </c>
      <c r="B49" s="202" t="s">
        <v>274</v>
      </c>
      <c r="C49" s="324">
        <v>806.6</v>
      </c>
      <c r="D49" s="324">
        <f>ROUND(L49/1000,1)</f>
        <v>954.7</v>
      </c>
      <c r="E49" s="324">
        <f t="shared" ref="D49:F52" si="0">ROUND(M49/1000,1)</f>
        <v>1022.4</v>
      </c>
      <c r="F49" s="324">
        <f t="shared" si="0"/>
        <v>0</v>
      </c>
      <c r="H49" s="574"/>
      <c r="I49" s="474"/>
      <c r="J49" s="576"/>
      <c r="K49" s="324">
        <v>899725.2</v>
      </c>
      <c r="L49" s="579">
        <v>954688.41</v>
      </c>
      <c r="M49" s="579">
        <v>1022373.8</v>
      </c>
      <c r="N49" s="579"/>
    </row>
    <row r="50" spans="1:14" ht="78.75">
      <c r="A50" s="323" t="s">
        <v>474</v>
      </c>
      <c r="B50" s="202" t="s">
        <v>276</v>
      </c>
      <c r="C50" s="324">
        <v>5.7</v>
      </c>
      <c r="D50" s="324">
        <f t="shared" si="0"/>
        <v>4.8</v>
      </c>
      <c r="E50" s="324">
        <f t="shared" si="0"/>
        <v>5</v>
      </c>
      <c r="F50" s="324">
        <f t="shared" si="0"/>
        <v>0</v>
      </c>
      <c r="G50" s="481"/>
      <c r="H50" s="574"/>
      <c r="I50" s="474"/>
      <c r="J50" s="576"/>
      <c r="K50" s="324">
        <v>4634.3500000000004</v>
      </c>
      <c r="L50" s="579">
        <v>4790.83</v>
      </c>
      <c r="M50" s="579">
        <v>5040.8999999999996</v>
      </c>
      <c r="N50" s="579"/>
    </row>
    <row r="51" spans="1:14" ht="67.5">
      <c r="A51" s="323" t="s">
        <v>475</v>
      </c>
      <c r="B51" s="202" t="s">
        <v>278</v>
      </c>
      <c r="C51" s="324">
        <v>1085.4000000000001</v>
      </c>
      <c r="D51" s="324">
        <f t="shared" si="0"/>
        <v>1243.5</v>
      </c>
      <c r="E51" s="324">
        <f t="shared" si="0"/>
        <v>1323.6</v>
      </c>
      <c r="F51" s="324">
        <f t="shared" si="0"/>
        <v>0</v>
      </c>
      <c r="H51" s="574"/>
      <c r="I51" s="474"/>
      <c r="J51" s="576"/>
      <c r="K51" s="324">
        <v>1175210.1299999999</v>
      </c>
      <c r="L51" s="579">
        <v>1243529.18</v>
      </c>
      <c r="M51" s="579">
        <v>1323566.19</v>
      </c>
      <c r="N51" s="579"/>
    </row>
    <row r="52" spans="1:14" ht="67.5">
      <c r="A52" s="323" t="s">
        <v>476</v>
      </c>
      <c r="B52" s="202" t="s">
        <v>279</v>
      </c>
      <c r="C52" s="324">
        <v>-144.80000000000001</v>
      </c>
      <c r="D52" s="324">
        <f t="shared" si="0"/>
        <v>-132</v>
      </c>
      <c r="E52" s="324">
        <f t="shared" si="0"/>
        <v>-129.80000000000001</v>
      </c>
      <c r="F52" s="324">
        <f t="shared" si="0"/>
        <v>0</v>
      </c>
      <c r="H52" s="574"/>
      <c r="I52" s="474"/>
      <c r="J52" s="576"/>
      <c r="K52" s="324">
        <v>-116111.38</v>
      </c>
      <c r="L52" s="579">
        <v>-132025.82999999999</v>
      </c>
      <c r="M52" s="579">
        <v>-129763.27</v>
      </c>
      <c r="N52" s="579"/>
    </row>
    <row r="53" spans="1:14">
      <c r="A53" s="965" t="s">
        <v>477</v>
      </c>
      <c r="B53" s="965"/>
      <c r="C53" s="326">
        <f>SUM(C49:C52)</f>
        <v>1752.9000000000003</v>
      </c>
      <c r="D53" s="327">
        <f>SUM(D49:D52)</f>
        <v>2071</v>
      </c>
      <c r="E53" s="326">
        <f>SUM(E49:E52)</f>
        <v>2221.1999999999998</v>
      </c>
      <c r="F53" s="326">
        <f>SUM(F49:F52)</f>
        <v>0</v>
      </c>
      <c r="H53" s="575"/>
      <c r="I53" s="575"/>
      <c r="J53" s="575"/>
      <c r="K53" s="800">
        <f>SUM(K49:K52)</f>
        <v>1963458.2999999998</v>
      </c>
      <c r="L53" s="800">
        <f>SUM(L49:L52)</f>
        <v>2070982.5899999999</v>
      </c>
      <c r="M53" s="800">
        <f>SUM(M49:M52)</f>
        <v>2221217.62</v>
      </c>
      <c r="N53" s="800">
        <f>SUM(N49:N52)</f>
        <v>0</v>
      </c>
    </row>
    <row r="54" spans="1:14">
      <c r="A54" s="319"/>
      <c r="B54" s="320"/>
      <c r="C54" s="321"/>
      <c r="D54" s="296"/>
      <c r="E54" s="296"/>
      <c r="F54" s="296"/>
    </row>
    <row r="55" spans="1:14">
      <c r="B55" s="320"/>
      <c r="C55" s="321"/>
      <c r="D55" s="296"/>
      <c r="E55" s="296"/>
      <c r="F55" s="296"/>
    </row>
    <row r="56" spans="1:14">
      <c r="A56" s="938" t="s">
        <v>478</v>
      </c>
      <c r="B56" s="938"/>
      <c r="C56" s="938"/>
      <c r="D56" s="938"/>
      <c r="E56" s="938"/>
      <c r="F56" s="938"/>
    </row>
    <row r="57" spans="1:14">
      <c r="A57" s="319"/>
      <c r="B57" s="320"/>
      <c r="C57" s="321"/>
      <c r="D57" s="296"/>
      <c r="E57" s="296"/>
      <c r="F57" s="296"/>
    </row>
    <row r="58" spans="1:14">
      <c r="A58" s="939" t="s">
        <v>836</v>
      </c>
      <c r="B58" s="939"/>
      <c r="C58" s="939"/>
      <c r="D58" s="939"/>
      <c r="E58" s="939"/>
      <c r="F58" s="939"/>
    </row>
    <row r="59" spans="1:14" ht="63.75">
      <c r="A59" s="175" t="s">
        <v>259</v>
      </c>
      <c r="B59" s="175" t="s">
        <v>260</v>
      </c>
      <c r="C59" s="328" t="s">
        <v>2</v>
      </c>
      <c r="D59" s="328" t="s">
        <v>924</v>
      </c>
      <c r="E59" s="328" t="s">
        <v>922</v>
      </c>
      <c r="F59" s="328" t="s">
        <v>923</v>
      </c>
    </row>
    <row r="60" spans="1:14" ht="38.25">
      <c r="A60" s="329" t="s">
        <v>479</v>
      </c>
      <c r="B60" s="183" t="s">
        <v>283</v>
      </c>
      <c r="C60" s="331">
        <v>50</v>
      </c>
      <c r="D60" s="332">
        <f>SUM(D61)</f>
        <v>136</v>
      </c>
      <c r="E60" s="332">
        <f>SUM(E61)</f>
        <v>136</v>
      </c>
      <c r="F60" s="332">
        <f>SUM(F61)</f>
        <v>136</v>
      </c>
    </row>
    <row r="61" spans="1:14" ht="51">
      <c r="A61" s="329" t="s">
        <v>480</v>
      </c>
      <c r="B61" s="344" t="s">
        <v>284</v>
      </c>
      <c r="C61" s="331">
        <v>50</v>
      </c>
      <c r="D61" s="581">
        <f>ROUND(D69/1000,1)</f>
        <v>136</v>
      </c>
      <c r="E61" s="332">
        <f>D61</f>
        <v>136</v>
      </c>
      <c r="F61" s="332">
        <f>E61</f>
        <v>136</v>
      </c>
    </row>
    <row r="62" spans="1:14">
      <c r="A62" s="319"/>
      <c r="B62" s="498"/>
      <c r="C62" s="321"/>
      <c r="D62" s="296"/>
      <c r="E62" s="296"/>
      <c r="F62" s="296"/>
      <c r="G62" s="482"/>
      <c r="H62" s="482"/>
    </row>
    <row r="63" spans="1:14" ht="15.75">
      <c r="B63" s="927" t="s">
        <v>836</v>
      </c>
      <c r="C63" s="927"/>
      <c r="D63" s="927"/>
    </row>
    <row r="64" spans="1:14" ht="25.5">
      <c r="B64" s="301" t="s">
        <v>463</v>
      </c>
      <c r="C64" s="301" t="s">
        <v>464</v>
      </c>
      <c r="D64" s="302" t="s">
        <v>245</v>
      </c>
      <c r="E64" s="887"/>
      <c r="F64" s="936" t="s">
        <v>136</v>
      </c>
      <c r="G64" s="936"/>
      <c r="H64" s="936"/>
      <c r="I64" s="936"/>
      <c r="J64" s="330">
        <v>165</v>
      </c>
    </row>
    <row r="65" spans="1:10">
      <c r="B65" s="931" t="s">
        <v>468</v>
      </c>
      <c r="C65" s="301">
        <v>2018</v>
      </c>
      <c r="D65" s="351">
        <v>26861.510000000006</v>
      </c>
      <c r="F65" s="936" t="s">
        <v>137</v>
      </c>
      <c r="G65" s="936"/>
      <c r="H65" s="936"/>
      <c r="I65" s="936"/>
      <c r="J65" s="330">
        <v>275</v>
      </c>
    </row>
    <row r="66" spans="1:10">
      <c r="B66" s="932"/>
      <c r="C66" s="301">
        <v>2019</v>
      </c>
      <c r="D66" s="351">
        <v>203840.89</v>
      </c>
      <c r="F66" s="936" t="s">
        <v>138</v>
      </c>
      <c r="G66" s="936"/>
      <c r="H66" s="936"/>
      <c r="I66" s="936"/>
      <c r="J66" s="330">
        <v>162</v>
      </c>
    </row>
    <row r="67" spans="1:10">
      <c r="B67" s="302" t="str">
        <f>B15</f>
        <v>Фактически исполнено за 10 месяцев</v>
      </c>
      <c r="C67" s="926">
        <v>2020</v>
      </c>
      <c r="D67" s="353">
        <v>150477</v>
      </c>
      <c r="F67" s="936" t="s">
        <v>139</v>
      </c>
      <c r="G67" s="936"/>
      <c r="H67" s="936"/>
      <c r="I67" s="936"/>
      <c r="J67" s="330">
        <v>209</v>
      </c>
    </row>
    <row r="68" spans="1:10">
      <c r="B68" s="302" t="s">
        <v>469</v>
      </c>
      <c r="C68" s="926"/>
      <c r="D68" s="421">
        <f>D67</f>
        <v>150477</v>
      </c>
      <c r="F68" s="936" t="s">
        <v>134</v>
      </c>
      <c r="G68" s="936"/>
      <c r="H68" s="936"/>
      <c r="I68" s="936"/>
      <c r="J68" s="330">
        <v>26.8</v>
      </c>
    </row>
    <row r="69" spans="1:10">
      <c r="A69" s="319"/>
      <c r="B69" s="922" t="s">
        <v>470</v>
      </c>
      <c r="C69" s="923">
        <v>2021</v>
      </c>
      <c r="D69" s="313">
        <f>ROUND((D65*2+D66+D68)/3,0)</f>
        <v>136014</v>
      </c>
      <c r="E69" s="296"/>
      <c r="F69" s="936" t="s">
        <v>135</v>
      </c>
      <c r="G69" s="936"/>
      <c r="H69" s="936"/>
      <c r="I69" s="936"/>
      <c r="J69" s="330">
        <v>203.8</v>
      </c>
    </row>
    <row r="70" spans="1:10">
      <c r="A70" s="319"/>
      <c r="B70" s="922"/>
      <c r="C70" s="923"/>
      <c r="D70" s="357" t="s">
        <v>519</v>
      </c>
      <c r="E70" s="296"/>
      <c r="F70" s="936" t="s">
        <v>133</v>
      </c>
      <c r="G70" s="936"/>
      <c r="H70" s="936"/>
      <c r="I70" s="936"/>
      <c r="J70" s="330">
        <v>150.69999999999999</v>
      </c>
    </row>
    <row r="71" spans="1:10">
      <c r="A71" s="319"/>
      <c r="B71" s="961" t="s">
        <v>244</v>
      </c>
      <c r="C71" s="961"/>
      <c r="D71" s="961"/>
      <c r="E71" s="296"/>
      <c r="F71" s="967" t="s">
        <v>140</v>
      </c>
      <c r="G71" s="967"/>
      <c r="H71" s="967"/>
      <c r="I71" s="967"/>
      <c r="J71" s="330">
        <f>(J68*2+J69+J70)/3</f>
        <v>136.03333333333333</v>
      </c>
    </row>
    <row r="72" spans="1:10">
      <c r="A72" s="319"/>
      <c r="D72" s="296"/>
      <c r="E72" s="296"/>
      <c r="F72" s="296"/>
      <c r="G72" s="482"/>
    </row>
    <row r="73" spans="1:10">
      <c r="A73" s="319"/>
      <c r="B73" s="320"/>
      <c r="C73" s="321"/>
      <c r="D73" s="296"/>
      <c r="E73" s="296"/>
      <c r="F73" s="296"/>
      <c r="G73" s="482"/>
    </row>
    <row r="74" spans="1:10">
      <c r="A74" s="954" t="s">
        <v>481</v>
      </c>
      <c r="B74" s="954"/>
      <c r="C74" s="954"/>
      <c r="D74" s="954"/>
      <c r="E74" s="954"/>
      <c r="F74" s="954"/>
    </row>
    <row r="75" spans="1:10" ht="11.25" customHeight="1">
      <c r="A75" s="319"/>
      <c r="B75" s="320"/>
      <c r="C75" s="321"/>
      <c r="D75" s="296"/>
      <c r="E75" s="296"/>
      <c r="F75" s="296"/>
    </row>
    <row r="76" spans="1:10" ht="70.5" customHeight="1">
      <c r="A76" s="175" t="s">
        <v>259</v>
      </c>
      <c r="B76" s="164" t="s">
        <v>260</v>
      </c>
      <c r="C76" s="322" t="str">
        <f>C7</f>
        <v>Фактически поступило (по состоянию на 01.11.2020), рублей</v>
      </c>
      <c r="D76" s="322" t="str">
        <f>D7</f>
        <v>Ожидаемая оценка поступлений в 2020 году, рублей</v>
      </c>
      <c r="E76" s="322" t="str">
        <f>E7</f>
        <v>Проект бюджета на 2021 год, рублей</v>
      </c>
      <c r="F76" s="322" t="str">
        <f>F7</f>
        <v>Проект бюджета на 2021 год, тыс. рублей</v>
      </c>
    </row>
    <row r="77" spans="1:10" ht="30" customHeight="1">
      <c r="A77" s="335" t="s">
        <v>290</v>
      </c>
      <c r="B77" s="167" t="s">
        <v>289</v>
      </c>
      <c r="C77" s="336">
        <v>675886.51</v>
      </c>
      <c r="D77" s="336">
        <v>999411.07000000007</v>
      </c>
      <c r="E77" s="336">
        <f>G98</f>
        <v>999411.07000000007</v>
      </c>
      <c r="F77" s="337">
        <f>ROUND(E77/1000,1)</f>
        <v>999.4</v>
      </c>
      <c r="H77" s="280"/>
      <c r="I77" s="280"/>
    </row>
    <row r="78" spans="1:10" s="272" customFormat="1" ht="11.25" customHeight="1">
      <c r="A78" s="300"/>
      <c r="B78" s="320"/>
      <c r="C78" s="338"/>
      <c r="D78" s="338"/>
      <c r="E78" s="338"/>
      <c r="F78" s="338"/>
    </row>
    <row r="79" spans="1:10" s="272" customFormat="1" ht="15.75" customHeight="1">
      <c r="A79" s="943" t="s">
        <v>482</v>
      </c>
      <c r="B79" s="943"/>
      <c r="C79" s="943"/>
      <c r="D79" s="943"/>
      <c r="E79" s="943"/>
      <c r="F79" s="943"/>
      <c r="G79" s="943"/>
    </row>
    <row r="80" spans="1:10" s="272" customFormat="1" ht="38.25">
      <c r="A80" s="329" t="s">
        <v>483</v>
      </c>
      <c r="B80" s="339" t="s">
        <v>484</v>
      </c>
      <c r="C80" s="328" t="s">
        <v>485</v>
      </c>
      <c r="D80" s="328" t="s">
        <v>944</v>
      </c>
      <c r="E80" s="328" t="s">
        <v>4</v>
      </c>
      <c r="F80" s="328" t="s">
        <v>945</v>
      </c>
      <c r="G80" s="328" t="s">
        <v>5</v>
      </c>
      <c r="I80" s="591"/>
    </row>
    <row r="81" spans="1:8" s="272" customFormat="1" ht="25.5" hidden="1">
      <c r="A81" s="333"/>
      <c r="B81" s="340" t="s">
        <v>486</v>
      </c>
      <c r="C81" s="341" t="s">
        <v>487</v>
      </c>
      <c r="D81" s="270"/>
      <c r="E81" s="342"/>
      <c r="F81" s="343"/>
      <c r="G81" s="342">
        <f>E81*F81%</f>
        <v>0</v>
      </c>
    </row>
    <row r="82" spans="1:8" s="272" customFormat="1">
      <c r="A82" s="329" t="s">
        <v>488</v>
      </c>
      <c r="B82" s="344" t="s">
        <v>489</v>
      </c>
      <c r="C82" s="345" t="s">
        <v>490</v>
      </c>
      <c r="D82" s="593">
        <v>19.3688</v>
      </c>
      <c r="E82" s="598">
        <v>161427342.80000001</v>
      </c>
      <c r="F82" s="596">
        <v>0.3</v>
      </c>
      <c r="G82" s="595">
        <f>ROUND(E82*F82%,2)</f>
        <v>484282.03</v>
      </c>
      <c r="H82" s="590"/>
    </row>
    <row r="83" spans="1:8" s="272" customFormat="1">
      <c r="A83" s="329" t="s">
        <v>491</v>
      </c>
      <c r="B83" s="344" t="s">
        <v>492</v>
      </c>
      <c r="C83" s="345"/>
      <c r="D83" s="593">
        <f>SUM(D84:D94)</f>
        <v>155.83110000000002</v>
      </c>
      <c r="E83" s="598">
        <f>SUM(E84:E94)</f>
        <v>134322124.58000001</v>
      </c>
      <c r="F83" s="596">
        <v>0.3</v>
      </c>
      <c r="G83" s="595">
        <f>SUM(G84:G94)</f>
        <v>402966.37</v>
      </c>
    </row>
    <row r="84" spans="1:8" s="272" customFormat="1">
      <c r="A84" s="329" t="s">
        <v>493</v>
      </c>
      <c r="B84" s="592" t="s">
        <v>941</v>
      </c>
      <c r="C84" s="346" t="s">
        <v>494</v>
      </c>
      <c r="D84" s="593">
        <v>8.1343999999999994</v>
      </c>
      <c r="E84" s="599">
        <v>1322653.44</v>
      </c>
      <c r="F84" s="596">
        <v>0.3</v>
      </c>
      <c r="G84" s="595">
        <f t="shared" ref="G84:G97" si="1">ROUND(E84*F84%,2)</f>
        <v>3967.96</v>
      </c>
    </row>
    <row r="85" spans="1:8" s="272" customFormat="1">
      <c r="A85" s="329" t="s">
        <v>495</v>
      </c>
      <c r="B85" s="592" t="s">
        <v>943</v>
      </c>
      <c r="C85" s="346" t="s">
        <v>942</v>
      </c>
      <c r="D85" s="593">
        <v>135.88489999999999</v>
      </c>
      <c r="E85" s="599">
        <v>22094884.739999998</v>
      </c>
      <c r="F85" s="596">
        <v>0.3</v>
      </c>
      <c r="G85" s="595">
        <f t="shared" si="1"/>
        <v>66284.649999999994</v>
      </c>
    </row>
    <row r="86" spans="1:8" s="272" customFormat="1">
      <c r="A86" s="329" t="s">
        <v>497</v>
      </c>
      <c r="B86" s="592" t="s">
        <v>939</v>
      </c>
      <c r="C86" s="346" t="s">
        <v>496</v>
      </c>
      <c r="D86" s="593">
        <v>0.9</v>
      </c>
      <c r="E86" s="599">
        <v>146340</v>
      </c>
      <c r="F86" s="596">
        <v>0.3</v>
      </c>
      <c r="G86" s="595">
        <f t="shared" si="1"/>
        <v>439.02</v>
      </c>
    </row>
    <row r="87" spans="1:8" s="272" customFormat="1">
      <c r="A87" s="329" t="s">
        <v>499</v>
      </c>
      <c r="B87" s="592" t="s">
        <v>937</v>
      </c>
      <c r="C87" s="346" t="s">
        <v>498</v>
      </c>
      <c r="D87" s="593">
        <v>7.7282999999999999</v>
      </c>
      <c r="E87" s="599">
        <v>72812152.099999994</v>
      </c>
      <c r="F87" s="596">
        <v>0.3</v>
      </c>
      <c r="G87" s="595">
        <f t="shared" si="1"/>
        <v>218436.46</v>
      </c>
    </row>
    <row r="88" spans="1:8" s="272" customFormat="1">
      <c r="A88" s="329" t="s">
        <v>501</v>
      </c>
      <c r="B88" s="592" t="s">
        <v>937</v>
      </c>
      <c r="C88" s="346" t="s">
        <v>500</v>
      </c>
      <c r="D88" s="593">
        <v>3.7900000000000003E-2</v>
      </c>
      <c r="E88" s="599">
        <v>595124.53</v>
      </c>
      <c r="F88" s="596">
        <v>0.3</v>
      </c>
      <c r="G88" s="595">
        <f t="shared" si="1"/>
        <v>1785.37</v>
      </c>
    </row>
    <row r="89" spans="1:8" s="272" customFormat="1">
      <c r="A89" s="329" t="s">
        <v>503</v>
      </c>
      <c r="B89" s="592" t="s">
        <v>937</v>
      </c>
      <c r="C89" s="346" t="s">
        <v>502</v>
      </c>
      <c r="D89" s="593">
        <v>3.7900000000000003E-2</v>
      </c>
      <c r="E89" s="599">
        <v>595124.53</v>
      </c>
      <c r="F89" s="596">
        <v>0.3</v>
      </c>
      <c r="G89" s="595">
        <f t="shared" si="1"/>
        <v>1785.37</v>
      </c>
    </row>
    <row r="90" spans="1:8" s="272" customFormat="1">
      <c r="A90" s="329" t="s">
        <v>505</v>
      </c>
      <c r="B90" s="592" t="s">
        <v>938</v>
      </c>
      <c r="C90" s="346" t="s">
        <v>504</v>
      </c>
      <c r="D90" s="593">
        <v>1.2578</v>
      </c>
      <c r="E90" s="599">
        <v>14727685.630000001</v>
      </c>
      <c r="F90" s="596">
        <v>0.3</v>
      </c>
      <c r="G90" s="595">
        <f t="shared" si="1"/>
        <v>44183.06</v>
      </c>
    </row>
    <row r="91" spans="1:8" s="272" customFormat="1">
      <c r="A91" s="329" t="s">
        <v>507</v>
      </c>
      <c r="B91" s="592" t="s">
        <v>937</v>
      </c>
      <c r="C91" s="346" t="s">
        <v>506</v>
      </c>
      <c r="D91" s="593">
        <v>0.25540000000000002</v>
      </c>
      <c r="E91" s="599">
        <v>3331731.09</v>
      </c>
      <c r="F91" s="596">
        <v>0.3</v>
      </c>
      <c r="G91" s="595">
        <f t="shared" si="1"/>
        <v>9995.19</v>
      </c>
    </row>
    <row r="92" spans="1:8" s="272" customFormat="1">
      <c r="A92" s="329" t="s">
        <v>509</v>
      </c>
      <c r="B92" s="592" t="s">
        <v>3</v>
      </c>
      <c r="C92" s="346" t="s">
        <v>508</v>
      </c>
      <c r="D92" s="593">
        <v>0.1986</v>
      </c>
      <c r="E92" s="599">
        <v>2662732.36</v>
      </c>
      <c r="F92" s="596">
        <v>0.3</v>
      </c>
      <c r="G92" s="595">
        <f t="shared" si="1"/>
        <v>7988.2</v>
      </c>
    </row>
    <row r="93" spans="1:8" s="272" customFormat="1">
      <c r="A93" s="329" t="s">
        <v>511</v>
      </c>
      <c r="B93" s="592" t="s">
        <v>936</v>
      </c>
      <c r="C93" s="347" t="s">
        <v>510</v>
      </c>
      <c r="D93" s="593">
        <v>0.12709999999999999</v>
      </c>
      <c r="E93" s="599">
        <v>1780856.12</v>
      </c>
      <c r="F93" s="596">
        <v>0.3</v>
      </c>
      <c r="G93" s="595">
        <f t="shared" si="1"/>
        <v>5342.57</v>
      </c>
    </row>
    <row r="94" spans="1:8" s="272" customFormat="1" ht="12.75" customHeight="1">
      <c r="A94" s="329" t="s">
        <v>940</v>
      </c>
      <c r="B94" s="273"/>
      <c r="C94" s="346" t="s">
        <v>512</v>
      </c>
      <c r="D94" s="593">
        <v>1.2687999999999999</v>
      </c>
      <c r="E94" s="599">
        <v>14252840.039999999</v>
      </c>
      <c r="F94" s="596">
        <v>0.3</v>
      </c>
      <c r="G94" s="595">
        <f t="shared" si="1"/>
        <v>42758.52</v>
      </c>
    </row>
    <row r="95" spans="1:8" s="272" customFormat="1">
      <c r="A95" s="329" t="s">
        <v>513</v>
      </c>
      <c r="B95" s="348" t="s">
        <v>514</v>
      </c>
      <c r="C95" s="345" t="s">
        <v>933</v>
      </c>
      <c r="D95" s="593">
        <v>1.1498999999999999</v>
      </c>
      <c r="E95" s="598">
        <v>29587616.940000001</v>
      </c>
      <c r="F95" s="596">
        <v>0.3</v>
      </c>
      <c r="G95" s="595">
        <f t="shared" si="1"/>
        <v>88762.85</v>
      </c>
    </row>
    <row r="96" spans="1:8" s="272" customFormat="1">
      <c r="A96" s="329" t="s">
        <v>929</v>
      </c>
      <c r="B96" s="348" t="s">
        <v>931</v>
      </c>
      <c r="C96" s="345" t="s">
        <v>934</v>
      </c>
      <c r="D96" s="593">
        <v>0.19040000000000001</v>
      </c>
      <c r="E96" s="598">
        <v>2099723.1</v>
      </c>
      <c r="F96" s="596">
        <v>0.3</v>
      </c>
      <c r="G96" s="595">
        <f t="shared" si="1"/>
        <v>6299.17</v>
      </c>
    </row>
    <row r="97" spans="1:9" s="272" customFormat="1">
      <c r="A97" s="329" t="s">
        <v>930</v>
      </c>
      <c r="B97" s="348" t="s">
        <v>932</v>
      </c>
      <c r="C97" s="345" t="s">
        <v>935</v>
      </c>
      <c r="D97" s="593">
        <v>0.16039999999999999</v>
      </c>
      <c r="E97" s="598">
        <v>1140043</v>
      </c>
      <c r="F97" s="596">
        <v>1.5</v>
      </c>
      <c r="G97" s="595">
        <f t="shared" si="1"/>
        <v>17100.650000000001</v>
      </c>
    </row>
    <row r="98" spans="1:9" s="272" customFormat="1">
      <c r="A98" s="946" t="s">
        <v>477</v>
      </c>
      <c r="B98" s="946"/>
      <c r="C98" s="349" t="s">
        <v>515</v>
      </c>
      <c r="D98" s="594">
        <f>D81+D82+D83+D95+D96+D97</f>
        <v>176.70060000000004</v>
      </c>
      <c r="E98" s="600">
        <f>E81+E82+E83+E95+E96+E97</f>
        <v>328576850.42000002</v>
      </c>
      <c r="F98" s="349" t="s">
        <v>515</v>
      </c>
      <c r="G98" s="597">
        <f>G81+G82+G83+G95+G96+G97</f>
        <v>999411.07000000007</v>
      </c>
      <c r="I98" s="601"/>
    </row>
    <row r="99" spans="1:9" s="272" customFormat="1" ht="11.25" customHeight="1">
      <c r="A99" s="300"/>
      <c r="B99" s="320"/>
      <c r="C99" s="338"/>
      <c r="D99" s="338"/>
      <c r="E99" s="338"/>
      <c r="F99" s="338"/>
    </row>
    <row r="100" spans="1:9" s="272" customFormat="1" ht="15" customHeight="1">
      <c r="A100" s="300"/>
      <c r="B100" s="350"/>
      <c r="C100" s="338"/>
      <c r="D100" s="338"/>
      <c r="E100" s="338"/>
      <c r="F100" s="338"/>
    </row>
    <row r="101" spans="1:9" s="272" customFormat="1" ht="15.75" customHeight="1">
      <c r="A101" s="955" t="s">
        <v>516</v>
      </c>
      <c r="B101" s="955"/>
      <c r="C101" s="955"/>
      <c r="D101" s="955"/>
      <c r="E101" s="955"/>
      <c r="F101" s="955"/>
    </row>
    <row r="102" spans="1:9" s="272" customFormat="1" ht="15" customHeight="1">
      <c r="A102" s="300"/>
      <c r="B102" s="320"/>
      <c r="C102" s="338"/>
      <c r="D102" s="338"/>
      <c r="E102" s="338"/>
      <c r="F102" s="338"/>
    </row>
    <row r="103" spans="1:9" ht="66.75" customHeight="1">
      <c r="A103" s="175" t="s">
        <v>259</v>
      </c>
      <c r="B103" s="164" t="s">
        <v>260</v>
      </c>
      <c r="C103" s="322" t="str">
        <f>C7</f>
        <v>Фактически поступило (по состоянию на 01.11.2020), рублей</v>
      </c>
      <c r="D103" s="322" t="str">
        <f>D7</f>
        <v>Ожидаемая оценка поступлений в 2020 году, рублей</v>
      </c>
      <c r="E103" s="322" t="str">
        <f>E7</f>
        <v>Проект бюджета на 2021 год, рублей</v>
      </c>
      <c r="F103" s="322" t="str">
        <f>F7</f>
        <v>Проект бюджета на 2021 год, тыс. рублей</v>
      </c>
    </row>
    <row r="104" spans="1:9" ht="108" customHeight="1">
      <c r="A104" s="182" t="s">
        <v>297</v>
      </c>
      <c r="B104" s="183" t="s">
        <v>551</v>
      </c>
      <c r="C104" s="290">
        <v>10560</v>
      </c>
      <c r="D104" s="290">
        <f>D114</f>
        <v>15876</v>
      </c>
      <c r="E104" s="291">
        <f>D115</f>
        <v>20189</v>
      </c>
      <c r="F104" s="337">
        <f>ROUND(E104/1000,1)</f>
        <v>20.2</v>
      </c>
    </row>
    <row r="105" spans="1:9">
      <c r="A105" s="300"/>
      <c r="B105" s="320"/>
      <c r="C105" s="296"/>
      <c r="D105" s="296"/>
      <c r="E105" s="296"/>
      <c r="F105" s="296"/>
    </row>
    <row r="106" spans="1:9" ht="15.75">
      <c r="A106" s="297"/>
      <c r="B106" s="927" t="s">
        <v>517</v>
      </c>
      <c r="C106" s="927"/>
      <c r="D106" s="927"/>
      <c r="E106" s="297"/>
      <c r="F106" s="297"/>
    </row>
    <row r="107" spans="1:9" ht="25.5">
      <c r="A107" s="300"/>
      <c r="B107" s="301" t="s">
        <v>463</v>
      </c>
      <c r="C107" s="301" t="s">
        <v>464</v>
      </c>
      <c r="D107" s="302" t="s">
        <v>518</v>
      </c>
      <c r="E107" s="315"/>
    </row>
    <row r="108" spans="1:9">
      <c r="A108" s="300"/>
      <c r="B108" s="931" t="s">
        <v>468</v>
      </c>
      <c r="C108" s="301">
        <v>2015</v>
      </c>
      <c r="D108" s="351">
        <v>27020</v>
      </c>
      <c r="E108" s="352"/>
    </row>
    <row r="109" spans="1:9">
      <c r="A109" s="300"/>
      <c r="B109" s="932"/>
      <c r="C109" s="301">
        <v>2016</v>
      </c>
      <c r="D109" s="351">
        <v>25540</v>
      </c>
      <c r="E109" s="352"/>
    </row>
    <row r="110" spans="1:9">
      <c r="A110" s="300"/>
      <c r="B110" s="932"/>
      <c r="C110" s="301">
        <v>2017</v>
      </c>
      <c r="D110" s="351">
        <v>23290</v>
      </c>
      <c r="E110" s="352"/>
    </row>
    <row r="111" spans="1:9">
      <c r="A111" s="300"/>
      <c r="B111" s="932"/>
      <c r="C111" s="301">
        <v>2018</v>
      </c>
      <c r="D111" s="351">
        <v>21400</v>
      </c>
      <c r="E111" s="352"/>
    </row>
    <row r="112" spans="1:9">
      <c r="A112" s="300"/>
      <c r="B112" s="933"/>
      <c r="C112" s="301">
        <v>2019</v>
      </c>
      <c r="D112" s="351">
        <v>12650</v>
      </c>
      <c r="E112" s="352"/>
    </row>
    <row r="113" spans="1:6">
      <c r="A113" s="300"/>
      <c r="B113" s="302" t="str">
        <f>B15</f>
        <v>Фактически исполнено за 10 месяцев</v>
      </c>
      <c r="C113" s="926">
        <v>2020</v>
      </c>
      <c r="D113" s="353">
        <v>13230</v>
      </c>
      <c r="E113" s="352"/>
    </row>
    <row r="114" spans="1:6">
      <c r="A114" s="300"/>
      <c r="B114" s="302" t="s">
        <v>469</v>
      </c>
      <c r="C114" s="926"/>
      <c r="D114" s="421">
        <f>D113/10*12</f>
        <v>15876</v>
      </c>
      <c r="E114" s="352"/>
    </row>
    <row r="115" spans="1:6" s="272" customFormat="1">
      <c r="A115" s="300"/>
      <c r="B115" s="922" t="s">
        <v>470</v>
      </c>
      <c r="C115" s="923">
        <v>2021</v>
      </c>
      <c r="D115" s="313">
        <f>ROUND((D110+D111+D114)/3,0)</f>
        <v>20189</v>
      </c>
      <c r="E115" s="354"/>
    </row>
    <row r="116" spans="1:6" s="272" customFormat="1">
      <c r="A116" s="300"/>
      <c r="B116" s="922"/>
      <c r="C116" s="923"/>
      <c r="D116" s="357" t="s">
        <v>519</v>
      </c>
      <c r="E116" s="297"/>
    </row>
    <row r="117" spans="1:6" s="272" customFormat="1" ht="14.25" customHeight="1">
      <c r="A117" s="300"/>
      <c r="B117" s="358"/>
      <c r="C117" s="359"/>
      <c r="D117" s="360"/>
      <c r="E117" s="292"/>
      <c r="F117" s="296"/>
    </row>
    <row r="118" spans="1:6" s="272" customFormat="1" ht="14.25" customHeight="1">
      <c r="A118" s="300"/>
      <c r="B118" s="358"/>
      <c r="C118" s="359"/>
      <c r="D118" s="360"/>
      <c r="E118" s="292"/>
      <c r="F118" s="296"/>
    </row>
    <row r="119" spans="1:6" s="272" customFormat="1" ht="14.25" customHeight="1">
      <c r="A119" s="300"/>
      <c r="B119" s="358"/>
      <c r="C119" s="262">
        <v>2012</v>
      </c>
      <c r="D119" s="334">
        <v>25.1</v>
      </c>
      <c r="E119" s="292"/>
      <c r="F119" s="296"/>
    </row>
    <row r="120" spans="1:6" s="272" customFormat="1" ht="14.25" customHeight="1">
      <c r="A120" s="300"/>
      <c r="B120" s="358"/>
      <c r="C120" s="262">
        <v>2013</v>
      </c>
      <c r="D120" s="334">
        <v>24.6</v>
      </c>
      <c r="E120" s="292"/>
      <c r="F120" s="296"/>
    </row>
    <row r="121" spans="1:6" s="272" customFormat="1" ht="14.25" customHeight="1">
      <c r="A121" s="300"/>
      <c r="B121" s="358"/>
      <c r="C121" s="262">
        <v>2014</v>
      </c>
      <c r="D121" s="334">
        <v>21.3</v>
      </c>
      <c r="E121" s="292"/>
      <c r="F121" s="296"/>
    </row>
    <row r="122" spans="1:6" s="272" customFormat="1" ht="14.25" customHeight="1">
      <c r="A122" s="300"/>
      <c r="B122" s="358"/>
      <c r="C122" s="262">
        <v>2015</v>
      </c>
      <c r="D122" s="334">
        <v>27</v>
      </c>
      <c r="E122" s="292"/>
      <c r="F122" s="296"/>
    </row>
    <row r="123" spans="1:6" s="272" customFormat="1" ht="14.25" customHeight="1">
      <c r="A123" s="300"/>
      <c r="B123" s="358"/>
      <c r="C123" s="262">
        <v>2016</v>
      </c>
      <c r="D123" s="334">
        <v>27.3</v>
      </c>
      <c r="E123" s="292"/>
      <c r="F123" s="296"/>
    </row>
    <row r="124" spans="1:6" s="272" customFormat="1" ht="14.25" customHeight="1">
      <c r="A124" s="300"/>
      <c r="B124" s="358"/>
      <c r="C124" s="272">
        <v>2017</v>
      </c>
      <c r="D124" s="422">
        <v>23.3</v>
      </c>
      <c r="E124" s="292"/>
      <c r="F124" s="296"/>
    </row>
    <row r="125" spans="1:6" s="272" customFormat="1" ht="14.25" customHeight="1">
      <c r="A125" s="300"/>
      <c r="B125" s="358"/>
      <c r="C125" s="355">
        <v>2018</v>
      </c>
      <c r="D125" s="422">
        <v>21.4</v>
      </c>
      <c r="E125" s="422"/>
      <c r="F125" s="296"/>
    </row>
    <row r="126" spans="1:6" s="272" customFormat="1" ht="14.25" customHeight="1">
      <c r="A126" s="300"/>
      <c r="B126" s="358"/>
      <c r="C126" s="355">
        <v>2019</v>
      </c>
      <c r="D126" s="422">
        <v>12.7</v>
      </c>
      <c r="E126" s="292"/>
      <c r="F126" s="296"/>
    </row>
    <row r="127" spans="1:6" s="272" customFormat="1" ht="14.25" customHeight="1">
      <c r="A127" s="300"/>
      <c r="B127" s="358"/>
      <c r="C127" s="355">
        <v>2020</v>
      </c>
      <c r="D127" s="422">
        <f>ROUND(D114/1000,1)</f>
        <v>15.9</v>
      </c>
      <c r="E127" s="292"/>
      <c r="F127" s="296"/>
    </row>
    <row r="128" spans="1:6" s="272" customFormat="1" ht="14.25" customHeight="1">
      <c r="A128" s="300"/>
      <c r="B128" s="358"/>
      <c r="C128" s="355">
        <v>2021</v>
      </c>
      <c r="D128" s="422">
        <f>ROUND(D115/1000,1)</f>
        <v>20.2</v>
      </c>
      <c r="E128" s="292"/>
      <c r="F128" s="296"/>
    </row>
    <row r="129" spans="1:15" s="272" customFormat="1" ht="14.25" customHeight="1">
      <c r="A129" s="300"/>
      <c r="B129" s="358"/>
      <c r="C129" s="359"/>
      <c r="D129" s="360"/>
      <c r="E129" s="292"/>
      <c r="F129" s="296"/>
    </row>
    <row r="130" spans="1:15" s="272" customFormat="1" ht="14.25" customHeight="1">
      <c r="A130" s="300"/>
      <c r="B130" s="358"/>
      <c r="C130" s="359"/>
      <c r="D130" s="360"/>
      <c r="E130" s="292"/>
      <c r="F130" s="296"/>
    </row>
    <row r="131" spans="1:15" s="272" customFormat="1" ht="14.25" customHeight="1">
      <c r="A131" s="300"/>
      <c r="B131" s="358"/>
      <c r="C131" s="359"/>
      <c r="D131" s="360"/>
      <c r="E131" s="292"/>
      <c r="F131" s="296"/>
    </row>
    <row r="132" spans="1:15" s="272" customFormat="1" ht="15.75">
      <c r="A132" s="935" t="s">
        <v>520</v>
      </c>
      <c r="B132" s="935"/>
      <c r="C132" s="935"/>
      <c r="D132" s="935"/>
      <c r="E132" s="935"/>
      <c r="F132" s="935"/>
    </row>
    <row r="133" spans="1:15" s="272" customFormat="1">
      <c r="A133" s="300"/>
      <c r="B133" s="320"/>
      <c r="C133" s="296"/>
      <c r="D133" s="296"/>
      <c r="E133" s="296"/>
      <c r="F133" s="296"/>
    </row>
    <row r="134" spans="1:15" s="272" customFormat="1">
      <c r="A134" s="955" t="s">
        <v>521</v>
      </c>
      <c r="B134" s="955"/>
      <c r="C134" s="955"/>
      <c r="D134" s="955"/>
      <c r="E134" s="955"/>
      <c r="F134" s="955"/>
    </row>
    <row r="135" spans="1:15">
      <c r="A135" s="300"/>
      <c r="B135" s="320"/>
      <c r="C135" s="296"/>
      <c r="D135" s="296"/>
      <c r="E135" s="296"/>
      <c r="F135" s="296"/>
    </row>
    <row r="136" spans="1:15" ht="71.25" customHeight="1">
      <c r="A136" s="175" t="s">
        <v>259</v>
      </c>
      <c r="B136" s="164" t="s">
        <v>260</v>
      </c>
      <c r="C136" s="322" t="str">
        <f>C7</f>
        <v>Фактически поступило (по состоянию на 01.11.2020), рублей</v>
      </c>
      <c r="D136" s="322" t="str">
        <f>D7</f>
        <v>Ожидаемая оценка поступлений в 2020 году, рублей</v>
      </c>
      <c r="E136" s="322" t="str">
        <f>E7</f>
        <v>Проект бюджета на 2021 год, рублей</v>
      </c>
      <c r="F136" s="322" t="str">
        <f>F7</f>
        <v>Проект бюджета на 2021 год, тыс. рублей</v>
      </c>
      <c r="G136" s="322" t="s">
        <v>925</v>
      </c>
      <c r="H136" s="322" t="s">
        <v>926</v>
      </c>
    </row>
    <row r="137" spans="1:15" ht="105" customHeight="1">
      <c r="A137" s="361" t="s">
        <v>305</v>
      </c>
      <c r="B137" s="362" t="s">
        <v>522</v>
      </c>
      <c r="C137" s="363">
        <v>975886.65</v>
      </c>
      <c r="D137" s="363">
        <f>F151</f>
        <v>1260777</v>
      </c>
      <c r="E137" s="364">
        <f>G151</f>
        <v>1218678</v>
      </c>
      <c r="F137" s="337">
        <f>ROUND(E137/1000,1)</f>
        <v>1218.7</v>
      </c>
      <c r="G137" s="433">
        <f>ROUND(G151/1000,1)</f>
        <v>1218.7</v>
      </c>
      <c r="H137" s="433">
        <f>ROUND(H151/1000,1)</f>
        <v>1218.7</v>
      </c>
      <c r="I137" s="280"/>
    </row>
    <row r="138" spans="1:15">
      <c r="A138" s="319"/>
      <c r="B138" s="365"/>
      <c r="C138" s="321"/>
      <c r="D138" s="321"/>
      <c r="E138" s="321"/>
      <c r="F138" s="321"/>
    </row>
    <row r="139" spans="1:15" ht="14.45" customHeight="1">
      <c r="A139" s="319"/>
      <c r="B139" s="927" t="s">
        <v>523</v>
      </c>
      <c r="C139" s="927"/>
      <c r="D139" s="927"/>
      <c r="E139" s="927"/>
      <c r="F139" s="927"/>
      <c r="G139" s="927"/>
      <c r="H139" s="789"/>
      <c r="I139" s="788"/>
    </row>
    <row r="140" spans="1:15" ht="15" customHeight="1">
      <c r="A140" s="319"/>
      <c r="B140" s="922" t="s">
        <v>524</v>
      </c>
      <c r="C140" s="920" t="s">
        <v>525</v>
      </c>
      <c r="D140" s="920"/>
      <c r="E140" s="920"/>
      <c r="F140" s="423" t="s">
        <v>787</v>
      </c>
      <c r="G140" s="423" t="s">
        <v>787</v>
      </c>
      <c r="H140" s="423" t="s">
        <v>787</v>
      </c>
      <c r="I140" s="630"/>
      <c r="J140" s="630"/>
      <c r="L140" s="940">
        <v>2020</v>
      </c>
      <c r="M140" s="941"/>
      <c r="N140" s="941"/>
      <c r="O140" s="942"/>
    </row>
    <row r="141" spans="1:15" ht="15" customHeight="1">
      <c r="A141" s="319"/>
      <c r="B141" s="922"/>
      <c r="C141" s="423" t="s">
        <v>526</v>
      </c>
      <c r="D141" s="423" t="s">
        <v>527</v>
      </c>
      <c r="E141" s="423" t="s">
        <v>528</v>
      </c>
      <c r="F141" s="423" t="s">
        <v>782</v>
      </c>
      <c r="G141" s="423" t="s">
        <v>783</v>
      </c>
      <c r="H141" s="423" t="s">
        <v>927</v>
      </c>
      <c r="L141" s="502" t="s">
        <v>843</v>
      </c>
      <c r="M141" s="502" t="s">
        <v>844</v>
      </c>
      <c r="N141" s="502" t="s">
        <v>845</v>
      </c>
      <c r="O141" s="502" t="s">
        <v>846</v>
      </c>
    </row>
    <row r="142" spans="1:15" ht="26.25" customHeight="1">
      <c r="A142" s="627"/>
      <c r="B142" s="367" t="s">
        <v>529</v>
      </c>
      <c r="C142" s="424">
        <v>3037.5</v>
      </c>
      <c r="D142" s="425"/>
      <c r="E142" s="426">
        <f>C142*12</f>
        <v>36450</v>
      </c>
      <c r="F142" s="424">
        <f>C142*12</f>
        <v>36450</v>
      </c>
      <c r="G142" s="424">
        <f>C142*12</f>
        <v>36450</v>
      </c>
      <c r="H142" s="424">
        <f>C142*12</f>
        <v>36450</v>
      </c>
      <c r="L142" s="251">
        <f>C142*3</f>
        <v>9112.5</v>
      </c>
      <c r="M142" s="251">
        <v>9112.5</v>
      </c>
      <c r="N142" s="251">
        <v>9112.5</v>
      </c>
      <c r="O142" s="251">
        <v>9112.5</v>
      </c>
    </row>
    <row r="143" spans="1:15" ht="18.75" customHeight="1">
      <c r="A143" s="627"/>
      <c r="B143" s="178" t="s">
        <v>530</v>
      </c>
      <c r="C143" s="426">
        <v>8089</v>
      </c>
      <c r="D143" s="427"/>
      <c r="E143" s="426">
        <f>C143*12</f>
        <v>97068</v>
      </c>
      <c r="F143" s="424">
        <f t="shared" ref="F143:F149" si="2">C143*12</f>
        <v>97068</v>
      </c>
      <c r="G143" s="424">
        <f t="shared" ref="G143:G149" si="3">C143*12</f>
        <v>97068</v>
      </c>
      <c r="H143" s="424">
        <f t="shared" ref="H143:H149" si="4">C143*12</f>
        <v>97068</v>
      </c>
      <c r="L143" s="251">
        <f t="shared" ref="L143:L149" si="5">C143*3</f>
        <v>24267</v>
      </c>
      <c r="M143" s="251">
        <v>24267</v>
      </c>
      <c r="N143" s="251">
        <v>24267</v>
      </c>
      <c r="O143" s="582">
        <v>24267</v>
      </c>
    </row>
    <row r="144" spans="1:15" ht="15.75" customHeight="1">
      <c r="A144" s="627"/>
      <c r="B144" s="368" t="s">
        <v>531</v>
      </c>
      <c r="C144" s="428">
        <v>17484</v>
      </c>
      <c r="D144" s="429"/>
      <c r="E144" s="426">
        <f>C144*12</f>
        <v>209808</v>
      </c>
      <c r="F144" s="424">
        <f t="shared" si="2"/>
        <v>209808</v>
      </c>
      <c r="G144" s="424">
        <f t="shared" si="3"/>
        <v>209808</v>
      </c>
      <c r="H144" s="424">
        <f t="shared" si="4"/>
        <v>209808</v>
      </c>
      <c r="L144" s="251">
        <f t="shared" si="5"/>
        <v>52452</v>
      </c>
      <c r="M144" s="251">
        <v>52452</v>
      </c>
      <c r="N144" s="251">
        <v>52452</v>
      </c>
      <c r="O144" s="251">
        <v>52452</v>
      </c>
    </row>
    <row r="145" spans="1:15" ht="15" customHeight="1">
      <c r="A145" s="627"/>
      <c r="B145" s="369" t="s">
        <v>532</v>
      </c>
      <c r="C145" s="424">
        <v>4675</v>
      </c>
      <c r="D145" s="424">
        <v>14025</v>
      </c>
      <c r="E145" s="426">
        <f>C145*12</f>
        <v>56100</v>
      </c>
      <c r="F145" s="424">
        <f t="shared" si="2"/>
        <v>56100</v>
      </c>
      <c r="G145" s="424">
        <f t="shared" si="3"/>
        <v>56100</v>
      </c>
      <c r="H145" s="424">
        <f t="shared" si="4"/>
        <v>56100</v>
      </c>
      <c r="L145" s="251">
        <f t="shared" si="5"/>
        <v>14025</v>
      </c>
      <c r="M145" s="251">
        <v>14025</v>
      </c>
      <c r="N145" s="251">
        <v>14025</v>
      </c>
      <c r="O145" s="251">
        <v>14025</v>
      </c>
    </row>
    <row r="146" spans="1:15" ht="26.25">
      <c r="A146" s="627"/>
      <c r="B146" s="367" t="s">
        <v>779</v>
      </c>
      <c r="C146" s="424">
        <v>10998</v>
      </c>
      <c r="D146" s="430"/>
      <c r="E146" s="426">
        <f>C146*12</f>
        <v>131976</v>
      </c>
      <c r="F146" s="424">
        <f t="shared" si="2"/>
        <v>131976</v>
      </c>
      <c r="G146" s="424">
        <f t="shared" si="3"/>
        <v>131976</v>
      </c>
      <c r="H146" s="424">
        <f t="shared" si="4"/>
        <v>131976</v>
      </c>
      <c r="L146" s="251">
        <f t="shared" si="5"/>
        <v>32994</v>
      </c>
      <c r="M146" s="251">
        <v>32994</v>
      </c>
      <c r="N146" s="251">
        <v>32994</v>
      </c>
      <c r="O146" s="251">
        <v>32994</v>
      </c>
    </row>
    <row r="147" spans="1:15">
      <c r="A147" s="627"/>
      <c r="B147" s="370" t="s">
        <v>533</v>
      </c>
      <c r="C147" s="431">
        <v>15555</v>
      </c>
      <c r="D147" s="430"/>
      <c r="E147" s="426">
        <v>152338.65</v>
      </c>
      <c r="F147" s="424">
        <f t="shared" si="2"/>
        <v>186660</v>
      </c>
      <c r="G147" s="424">
        <f t="shared" si="3"/>
        <v>186660</v>
      </c>
      <c r="H147" s="424">
        <f t="shared" si="4"/>
        <v>186660</v>
      </c>
      <c r="L147" s="251">
        <f t="shared" si="5"/>
        <v>46665</v>
      </c>
      <c r="M147" s="251">
        <v>46665</v>
      </c>
      <c r="N147" s="251">
        <v>46665</v>
      </c>
      <c r="O147" s="251">
        <v>46665</v>
      </c>
    </row>
    <row r="148" spans="1:15">
      <c r="A148" s="627"/>
      <c r="B148" s="370" t="s">
        <v>780</v>
      </c>
      <c r="C148" s="431">
        <f>8132+8795+8132</f>
        <v>25059</v>
      </c>
      <c r="D148" s="430"/>
      <c r="E148" s="504">
        <f>C148*12</f>
        <v>300708</v>
      </c>
      <c r="F148" s="424">
        <f t="shared" si="2"/>
        <v>300708</v>
      </c>
      <c r="G148" s="424">
        <f t="shared" si="3"/>
        <v>300708</v>
      </c>
      <c r="H148" s="424">
        <f t="shared" si="4"/>
        <v>300708</v>
      </c>
      <c r="L148" s="251">
        <f t="shared" si="5"/>
        <v>75177</v>
      </c>
      <c r="M148" s="251">
        <v>75177</v>
      </c>
      <c r="N148" s="251">
        <v>75177</v>
      </c>
      <c r="O148" s="251">
        <v>75177</v>
      </c>
    </row>
    <row r="149" spans="1:15" ht="26.25">
      <c r="A149" s="627"/>
      <c r="B149" s="370" t="s">
        <v>781</v>
      </c>
      <c r="C149" s="431">
        <f>8581+8078</f>
        <v>16659</v>
      </c>
      <c r="D149" s="430"/>
      <c r="E149" s="426">
        <f>C149*12</f>
        <v>199908</v>
      </c>
      <c r="F149" s="424">
        <f t="shared" si="2"/>
        <v>199908</v>
      </c>
      <c r="G149" s="424">
        <f t="shared" si="3"/>
        <v>199908</v>
      </c>
      <c r="H149" s="424">
        <f t="shared" si="4"/>
        <v>199908</v>
      </c>
      <c r="L149" s="251">
        <f t="shared" si="5"/>
        <v>49977</v>
      </c>
      <c r="M149" s="251">
        <v>49977</v>
      </c>
      <c r="N149" s="251">
        <v>49977</v>
      </c>
      <c r="O149" s="251">
        <v>49977</v>
      </c>
    </row>
    <row r="150" spans="1:15" ht="26.25">
      <c r="A150" s="627"/>
      <c r="B150" s="845" t="s">
        <v>110</v>
      </c>
      <c r="C150" s="504">
        <f>7048+6985</f>
        <v>14033</v>
      </c>
      <c r="D150" s="846"/>
      <c r="E150" s="504"/>
      <c r="F150" s="504">
        <f>C150*3</f>
        <v>42099</v>
      </c>
      <c r="G150" s="431"/>
      <c r="H150" s="431"/>
      <c r="I150" s="366"/>
      <c r="J150" s="366"/>
      <c r="K150" s="366"/>
      <c r="L150" s="651"/>
      <c r="M150" s="651"/>
      <c r="N150" s="409">
        <f>C150*3</f>
        <v>42099</v>
      </c>
      <c r="O150" s="251"/>
    </row>
    <row r="151" spans="1:15" ht="15" customHeight="1">
      <c r="A151" s="319"/>
      <c r="B151" s="369" t="s">
        <v>477</v>
      </c>
      <c r="C151" s="371"/>
      <c r="D151" s="371"/>
      <c r="E151" s="372">
        <f>SUM(E142:E150)</f>
        <v>1184356.6499999999</v>
      </c>
      <c r="F151" s="372">
        <f>SUM(F142:F150)</f>
        <v>1260777</v>
      </c>
      <c r="G151" s="372">
        <f>SUM(G142:G150)</f>
        <v>1218678</v>
      </c>
      <c r="H151" s="372">
        <f>SUM(H142:H150)</f>
        <v>1218678</v>
      </c>
      <c r="L151" s="503">
        <f>SUM(L142:L150)</f>
        <v>304669.5</v>
      </c>
      <c r="M151" s="503">
        <f>SUM(M142:M149)</f>
        <v>304669.5</v>
      </c>
      <c r="N151" s="503">
        <f>SUM(N142:N149)</f>
        <v>304669.5</v>
      </c>
      <c r="O151" s="503">
        <f>SUM(O142:O149)</f>
        <v>304669.5</v>
      </c>
    </row>
    <row r="152" spans="1:15" ht="15" customHeight="1">
      <c r="A152" s="319"/>
      <c r="B152" s="373"/>
      <c r="C152" s="374"/>
      <c r="D152" s="374"/>
      <c r="E152" s="375"/>
      <c r="F152" s="321"/>
    </row>
    <row r="153" spans="1:15" ht="15" customHeight="1">
      <c r="A153" s="319"/>
      <c r="B153" s="373"/>
      <c r="C153" s="262">
        <v>2012</v>
      </c>
      <c r="D153" s="847">
        <f>ROUND(84879/1000,1)</f>
        <v>84.9</v>
      </c>
      <c r="E153" s="375"/>
      <c r="F153" s="321"/>
    </row>
    <row r="154" spans="1:15" ht="15" customHeight="1">
      <c r="A154" s="319"/>
      <c r="B154" s="373"/>
      <c r="C154" s="262">
        <v>2013</v>
      </c>
      <c r="D154" s="847">
        <f>ROUND(131739/1000,1)</f>
        <v>131.69999999999999</v>
      </c>
      <c r="E154" s="375"/>
      <c r="F154" s="321"/>
    </row>
    <row r="155" spans="1:15" ht="15" customHeight="1">
      <c r="A155" s="319"/>
      <c r="B155" s="373"/>
      <c r="C155" s="262">
        <v>2014</v>
      </c>
      <c r="D155" s="847">
        <f>ROUND(228447/1000,1)</f>
        <v>228.4</v>
      </c>
      <c r="E155" s="375"/>
      <c r="F155" s="321"/>
    </row>
    <row r="156" spans="1:15" ht="15" customHeight="1">
      <c r="A156" s="319"/>
      <c r="B156" s="373"/>
      <c r="C156" s="262">
        <v>2015</v>
      </c>
      <c r="D156" s="847">
        <f>ROUND(531738/1000,1)</f>
        <v>531.70000000000005</v>
      </c>
      <c r="E156" s="375"/>
      <c r="F156" s="321"/>
    </row>
    <row r="157" spans="1:15" ht="15" customHeight="1">
      <c r="A157" s="319"/>
      <c r="B157" s="373"/>
      <c r="C157" s="262">
        <v>2016</v>
      </c>
      <c r="D157" s="847">
        <f>ROUND(399518/1000,1)</f>
        <v>399.5</v>
      </c>
      <c r="E157" s="375"/>
      <c r="F157" s="321"/>
    </row>
    <row r="158" spans="1:15" ht="15" customHeight="1">
      <c r="A158" s="319"/>
      <c r="B158" s="373"/>
      <c r="C158" s="262">
        <v>2017</v>
      </c>
      <c r="D158" s="334">
        <f>ROUND(640724/1000,1)</f>
        <v>640.70000000000005</v>
      </c>
      <c r="E158" s="375"/>
      <c r="F158" s="321"/>
    </row>
    <row r="159" spans="1:15" ht="15" customHeight="1">
      <c r="A159" s="319"/>
      <c r="B159" s="373"/>
      <c r="C159" s="262">
        <v>2018</v>
      </c>
      <c r="D159" s="334">
        <f>ROUND(1070232.31/1000,1)</f>
        <v>1070.2</v>
      </c>
      <c r="E159" s="375"/>
      <c r="F159" s="321"/>
    </row>
    <row r="160" spans="1:15" ht="15" customHeight="1">
      <c r="A160" s="319"/>
      <c r="B160" s="373"/>
      <c r="C160" s="262">
        <v>2019</v>
      </c>
      <c r="D160" s="334">
        <f>ROUND(1115610.02/1000,1)</f>
        <v>1115.5999999999999</v>
      </c>
      <c r="E160" s="375"/>
      <c r="F160" s="321"/>
    </row>
    <row r="161" spans="1:12" ht="15" customHeight="1">
      <c r="A161" s="319"/>
      <c r="B161" s="373"/>
      <c r="C161" s="262">
        <v>2020</v>
      </c>
      <c r="D161" s="334">
        <f>ROUND(F151/1000,1)</f>
        <v>1260.8</v>
      </c>
      <c r="E161" s="375"/>
      <c r="F161" s="321"/>
    </row>
    <row r="162" spans="1:12" ht="15" customHeight="1">
      <c r="A162" s="319"/>
      <c r="B162" s="373"/>
      <c r="C162" s="374">
        <v>2021</v>
      </c>
      <c r="D162" s="334">
        <f>ROUND(G151/1000,1)</f>
        <v>1218.7</v>
      </c>
      <c r="E162" s="375"/>
      <c r="F162" s="321"/>
    </row>
    <row r="163" spans="1:12" ht="15" customHeight="1">
      <c r="A163" s="319"/>
      <c r="B163" s="373"/>
      <c r="C163" s="374"/>
      <c r="D163" s="374"/>
      <c r="E163" s="375"/>
      <c r="F163" s="321"/>
    </row>
    <row r="164" spans="1:12" ht="15" customHeight="1">
      <c r="A164" s="319"/>
      <c r="B164" s="373"/>
      <c r="C164" s="374"/>
      <c r="D164" s="374"/>
      <c r="E164" s="375"/>
      <c r="F164" s="321"/>
    </row>
    <row r="165" spans="1:12" ht="15" customHeight="1">
      <c r="A165" s="319"/>
      <c r="B165" s="373"/>
      <c r="C165" s="374"/>
      <c r="D165" s="374"/>
      <c r="E165" s="375"/>
      <c r="F165" s="321"/>
    </row>
    <row r="166" spans="1:12" ht="15" customHeight="1">
      <c r="A166" s="956" t="s">
        <v>534</v>
      </c>
      <c r="B166" s="956"/>
      <c r="C166" s="956"/>
      <c r="D166" s="956"/>
      <c r="E166" s="956"/>
      <c r="F166" s="956"/>
    </row>
    <row r="168" spans="1:12" ht="69.75" customHeight="1">
      <c r="A168" s="175" t="s">
        <v>259</v>
      </c>
      <c r="B168" s="164" t="s">
        <v>260</v>
      </c>
      <c r="C168" s="322" t="str">
        <f>C7</f>
        <v>Фактически поступило (по состоянию на 01.11.2020), рублей</v>
      </c>
      <c r="D168" s="322" t="str">
        <f>D7</f>
        <v>Ожидаемая оценка поступлений в 2020 году, рублей</v>
      </c>
      <c r="E168" s="322" t="str">
        <f>E7</f>
        <v>Проект бюджета на 2021 год, рублей</v>
      </c>
      <c r="F168" s="322" t="str">
        <f>F7</f>
        <v>Проект бюджета на 2021 год, тыс. рублей</v>
      </c>
    </row>
    <row r="169" spans="1:12" ht="116.25" customHeight="1">
      <c r="A169" s="329" t="s">
        <v>310</v>
      </c>
      <c r="B169" s="362" t="s">
        <v>535</v>
      </c>
      <c r="C169" s="376">
        <f>D178</f>
        <v>260881.41</v>
      </c>
      <c r="D169" s="363">
        <f>D179</f>
        <v>313057.69</v>
      </c>
      <c r="E169" s="325">
        <f>D180</f>
        <v>441261</v>
      </c>
      <c r="F169" s="337">
        <f>ROUND(E169/1000,1)</f>
        <v>441.3</v>
      </c>
    </row>
    <row r="170" spans="1:12" ht="12" customHeight="1">
      <c r="A170" s="319"/>
      <c r="B170" s="365"/>
      <c r="C170" s="377"/>
      <c r="D170" s="378"/>
      <c r="E170" s="379"/>
      <c r="L170" s="170"/>
    </row>
    <row r="171" spans="1:12" ht="15" customHeight="1">
      <c r="A171" s="319"/>
      <c r="B171" s="925" t="s">
        <v>536</v>
      </c>
      <c r="C171" s="925"/>
      <c r="D171" s="925"/>
      <c r="E171" s="375"/>
      <c r="F171" s="321"/>
    </row>
    <row r="172" spans="1:12">
      <c r="A172" s="319"/>
      <c r="B172" s="301" t="s">
        <v>463</v>
      </c>
      <c r="C172" s="301" t="s">
        <v>464</v>
      </c>
      <c r="D172" s="302" t="s">
        <v>537</v>
      </c>
      <c r="E172" s="375"/>
      <c r="F172" s="262">
        <v>2012</v>
      </c>
      <c r="G172" s="432">
        <f>ROUND(461303.89/1000,1)</f>
        <v>461.3</v>
      </c>
    </row>
    <row r="173" spans="1:12" ht="15" customHeight="1">
      <c r="A173" s="319"/>
      <c r="B173" s="931" t="s">
        <v>468</v>
      </c>
      <c r="C173" s="301">
        <v>2015</v>
      </c>
      <c r="D173" s="351">
        <v>435409.65</v>
      </c>
      <c r="E173" s="375"/>
      <c r="F173" s="262">
        <v>2013</v>
      </c>
      <c r="G173" s="432">
        <f>ROUND(602239.48/1000,1)</f>
        <v>602.20000000000005</v>
      </c>
    </row>
    <row r="174" spans="1:12" ht="15" customHeight="1">
      <c r="A174" s="319"/>
      <c r="B174" s="932"/>
      <c r="C174" s="301">
        <v>2016</v>
      </c>
      <c r="D174" s="353">
        <v>560339.1</v>
      </c>
      <c r="E174" s="380"/>
      <c r="F174" s="262">
        <v>2014</v>
      </c>
      <c r="G174" s="432">
        <f>ROUND(553922.42/1000,1)</f>
        <v>553.9</v>
      </c>
    </row>
    <row r="175" spans="1:12" ht="15" customHeight="1">
      <c r="A175" s="319"/>
      <c r="B175" s="932"/>
      <c r="C175" s="301">
        <v>2017</v>
      </c>
      <c r="D175" s="353">
        <v>643499.52000000002</v>
      </c>
      <c r="E175" s="375"/>
      <c r="F175" s="262">
        <v>2015</v>
      </c>
      <c r="G175" s="432">
        <f>ROUND(435409.65/1000,1)</f>
        <v>435.4</v>
      </c>
    </row>
    <row r="176" spans="1:12" ht="15" customHeight="1">
      <c r="A176" s="319"/>
      <c r="B176" s="932"/>
      <c r="C176" s="301">
        <v>2018</v>
      </c>
      <c r="D176" s="353">
        <v>580245.5</v>
      </c>
      <c r="E176" s="375"/>
      <c r="F176" s="262">
        <v>2016</v>
      </c>
      <c r="G176" s="432">
        <f>ROUND(560339.1/1000,1)</f>
        <v>560.29999999999995</v>
      </c>
    </row>
    <row r="177" spans="1:15" ht="15" customHeight="1">
      <c r="A177" s="319"/>
      <c r="B177" s="933"/>
      <c r="C177" s="301">
        <v>2019</v>
      </c>
      <c r="D177" s="353">
        <v>430480.44999999995</v>
      </c>
      <c r="E177" s="375"/>
      <c r="F177" s="262">
        <v>2017</v>
      </c>
      <c r="G177" s="432">
        <f>ROUND(643499.52/1000,1)</f>
        <v>643.5</v>
      </c>
    </row>
    <row r="178" spans="1:15" ht="15" customHeight="1">
      <c r="A178" s="319"/>
      <c r="B178" s="302" t="str">
        <f>B15</f>
        <v>Фактически исполнено за 10 месяцев</v>
      </c>
      <c r="C178" s="926">
        <v>2020</v>
      </c>
      <c r="D178" s="376">
        <v>260881.41</v>
      </c>
      <c r="E178" s="375"/>
      <c r="F178" s="262">
        <v>2018</v>
      </c>
      <c r="G178" s="432">
        <f>ROUND(580245.5/1000,1)</f>
        <v>580.20000000000005</v>
      </c>
    </row>
    <row r="179" spans="1:15" ht="15" customHeight="1">
      <c r="A179" s="319"/>
      <c r="B179" s="302" t="s">
        <v>469</v>
      </c>
      <c r="C179" s="926"/>
      <c r="D179" s="351">
        <f>ROUND(D178/10*12,2)</f>
        <v>313057.69</v>
      </c>
      <c r="E179" s="375"/>
      <c r="F179" s="262">
        <v>2019</v>
      </c>
      <c r="G179" s="432">
        <f>ROUND(430480.45/1000,1)</f>
        <v>430.5</v>
      </c>
    </row>
    <row r="180" spans="1:15" ht="15" customHeight="1">
      <c r="A180" s="319"/>
      <c r="B180" s="922" t="s">
        <v>470</v>
      </c>
      <c r="C180" s="923">
        <v>2021</v>
      </c>
      <c r="D180" s="313">
        <f>ROUND((D176+D177+D179)/3,0)</f>
        <v>441261</v>
      </c>
      <c r="E180" s="375"/>
      <c r="F180" s="262">
        <v>2020</v>
      </c>
      <c r="G180" s="432">
        <f>ROUND(D179/1000,1)</f>
        <v>313.10000000000002</v>
      </c>
    </row>
    <row r="181" spans="1:15">
      <c r="A181" s="319"/>
      <c r="B181" s="922"/>
      <c r="C181" s="923"/>
      <c r="D181" s="357" t="s">
        <v>519</v>
      </c>
      <c r="E181" s="375"/>
      <c r="F181" s="262">
        <v>2021</v>
      </c>
      <c r="G181" s="432">
        <f>ROUND(D180/1000,1)</f>
        <v>441.3</v>
      </c>
    </row>
    <row r="182" spans="1:15" ht="12.75" customHeight="1">
      <c r="A182" s="319"/>
      <c r="B182" s="315"/>
      <c r="C182" s="316"/>
      <c r="D182" s="300"/>
      <c r="E182" s="375"/>
      <c r="F182" s="321"/>
    </row>
    <row r="183" spans="1:15" ht="12.75" customHeight="1">
      <c r="A183" s="319"/>
      <c r="B183" s="315"/>
      <c r="E183" s="375"/>
      <c r="F183" s="321"/>
    </row>
    <row r="184" spans="1:15" ht="12.75" customHeight="1">
      <c r="A184" s="319"/>
      <c r="B184" s="315"/>
      <c r="E184" s="375"/>
    </row>
    <row r="185" spans="1:15" ht="12.75" customHeight="1">
      <c r="A185" s="319"/>
      <c r="B185" s="315"/>
      <c r="E185" s="375"/>
    </row>
    <row r="186" spans="1:15" ht="12.75" customHeight="1">
      <c r="A186" s="319"/>
      <c r="B186" s="315"/>
      <c r="E186" s="375"/>
    </row>
    <row r="187" spans="1:15" ht="12.75" customHeight="1">
      <c r="A187" s="319"/>
      <c r="B187" s="315"/>
      <c r="C187" s="316"/>
      <c r="D187" s="300"/>
      <c r="E187" s="375"/>
    </row>
    <row r="188" spans="1:15" ht="14.45" customHeight="1">
      <c r="A188" s="921" t="s">
        <v>538</v>
      </c>
      <c r="B188" s="921"/>
      <c r="C188" s="921"/>
      <c r="D188" s="921"/>
      <c r="E188" s="921"/>
      <c r="F188" s="921"/>
    </row>
    <row r="189" spans="1:15" ht="12.75" customHeight="1">
      <c r="A189" s="319"/>
      <c r="B189" s="365"/>
      <c r="C189" s="381"/>
      <c r="D189" s="381"/>
      <c r="E189" s="381"/>
      <c r="F189" s="381"/>
      <c r="L189" s="170"/>
      <c r="M189" s="170"/>
    </row>
    <row r="190" spans="1:15" ht="70.5" customHeight="1">
      <c r="A190" s="175" t="s">
        <v>259</v>
      </c>
      <c r="B190" s="164" t="s">
        <v>260</v>
      </c>
      <c r="C190" s="322" t="str">
        <f>C136</f>
        <v>Фактически поступило (по состоянию на 01.11.2020), рублей</v>
      </c>
      <c r="D190" s="322" t="str">
        <f>D7</f>
        <v>Ожидаемая оценка поступлений в 2020 году, рублей</v>
      </c>
      <c r="E190" s="322" t="str">
        <f>E7</f>
        <v>Проект бюджета на 2021 год, рублей</v>
      </c>
      <c r="F190" s="322" t="str">
        <f>F7</f>
        <v>Проект бюджета на 2021 год, тыс. рублей</v>
      </c>
      <c r="L190" s="170"/>
      <c r="M190" s="170"/>
    </row>
    <row r="191" spans="1:15" ht="124.9" customHeight="1">
      <c r="A191" s="182" t="s">
        <v>318</v>
      </c>
      <c r="B191" s="362" t="s">
        <v>539</v>
      </c>
      <c r="C191" s="363">
        <v>260</v>
      </c>
      <c r="D191" s="363">
        <f>F205</f>
        <v>260</v>
      </c>
      <c r="E191" s="364">
        <f>F207</f>
        <v>520</v>
      </c>
      <c r="F191" s="337">
        <f>ROUND(E191/1000,1)</f>
        <v>0.5</v>
      </c>
      <c r="I191" s="420"/>
      <c r="L191" s="382"/>
      <c r="M191" s="937"/>
      <c r="N191" s="937"/>
      <c r="O191" s="937"/>
    </row>
    <row r="192" spans="1:15" ht="13.5" customHeight="1">
      <c r="A192" s="319"/>
      <c r="B192" s="365"/>
      <c r="C192" s="381"/>
      <c r="D192" s="381"/>
      <c r="E192" s="381"/>
      <c r="F192" s="381"/>
    </row>
    <row r="193" spans="1:13" ht="15.75">
      <c r="A193" s="924" t="s">
        <v>540</v>
      </c>
      <c r="B193" s="924"/>
      <c r="C193" s="924"/>
      <c r="D193" s="924"/>
      <c r="E193" s="924"/>
      <c r="F193" s="924"/>
    </row>
    <row r="194" spans="1:13" ht="42.75" customHeight="1">
      <c r="A194" s="301" t="s">
        <v>464</v>
      </c>
      <c r="B194" s="301" t="s">
        <v>463</v>
      </c>
      <c r="C194" s="328" t="s">
        <v>541</v>
      </c>
      <c r="D194" s="328" t="s">
        <v>542</v>
      </c>
      <c r="E194" s="328" t="s">
        <v>543</v>
      </c>
      <c r="F194" s="328" t="s">
        <v>544</v>
      </c>
    </row>
    <row r="195" spans="1:13">
      <c r="A195" s="949">
        <v>2016</v>
      </c>
      <c r="B195" s="931" t="s">
        <v>468</v>
      </c>
      <c r="C195" s="383">
        <v>260</v>
      </c>
      <c r="D195" s="384">
        <v>35</v>
      </c>
      <c r="E195" s="383">
        <f t="shared" ref="E195:E202" si="6">C195*D195</f>
        <v>9100</v>
      </c>
      <c r="F195" s="951">
        <f>E195+E196</f>
        <v>9400</v>
      </c>
      <c r="K195" s="272"/>
      <c r="L195" s="272"/>
      <c r="M195" s="272"/>
    </row>
    <row r="196" spans="1:13">
      <c r="A196" s="950"/>
      <c r="B196" s="932"/>
      <c r="C196" s="383">
        <v>150</v>
      </c>
      <c r="D196" s="384">
        <v>2</v>
      </c>
      <c r="E196" s="383">
        <f t="shared" si="6"/>
        <v>300</v>
      </c>
      <c r="F196" s="952"/>
      <c r="K196" s="272"/>
      <c r="L196" s="272"/>
      <c r="M196" s="272"/>
    </row>
    <row r="197" spans="1:13">
      <c r="A197" s="949">
        <v>2017</v>
      </c>
      <c r="B197" s="932"/>
      <c r="C197" s="383">
        <v>260</v>
      </c>
      <c r="D197" s="384">
        <v>5</v>
      </c>
      <c r="E197" s="383">
        <f t="shared" si="6"/>
        <v>1300</v>
      </c>
      <c r="F197" s="951">
        <f>E197+E198</f>
        <v>1300</v>
      </c>
      <c r="K197" s="272"/>
      <c r="L197" s="272"/>
      <c r="M197" s="272"/>
    </row>
    <row r="198" spans="1:13">
      <c r="A198" s="950"/>
      <c r="B198" s="932"/>
      <c r="C198" s="383">
        <v>150</v>
      </c>
      <c r="D198" s="384">
        <v>0</v>
      </c>
      <c r="E198" s="383">
        <f t="shared" si="6"/>
        <v>0</v>
      </c>
      <c r="F198" s="952"/>
      <c r="K198" s="272"/>
      <c r="L198" s="272"/>
      <c r="M198" s="272"/>
    </row>
    <row r="199" spans="1:13">
      <c r="A199" s="949">
        <v>2018</v>
      </c>
      <c r="B199" s="932"/>
      <c r="C199" s="383">
        <v>260</v>
      </c>
      <c r="D199" s="384">
        <v>5</v>
      </c>
      <c r="E199" s="383">
        <f t="shared" si="6"/>
        <v>1300</v>
      </c>
      <c r="F199" s="951">
        <f>E199+E200</f>
        <v>1450</v>
      </c>
      <c r="K199" s="272"/>
      <c r="L199" s="272"/>
      <c r="M199" s="272"/>
    </row>
    <row r="200" spans="1:13">
      <c r="A200" s="950"/>
      <c r="B200" s="932"/>
      <c r="C200" s="383">
        <v>150</v>
      </c>
      <c r="D200" s="384">
        <v>1</v>
      </c>
      <c r="E200" s="383">
        <f t="shared" si="6"/>
        <v>150</v>
      </c>
      <c r="F200" s="952"/>
      <c r="K200" s="272"/>
      <c r="L200" s="272"/>
      <c r="M200" s="272"/>
    </row>
    <row r="201" spans="1:13">
      <c r="A201" s="949">
        <v>2019</v>
      </c>
      <c r="B201" s="932"/>
      <c r="C201" s="383">
        <v>260</v>
      </c>
      <c r="D201" s="384">
        <v>7</v>
      </c>
      <c r="E201" s="383">
        <f t="shared" si="6"/>
        <v>1820</v>
      </c>
      <c r="F201" s="951">
        <f>E201+E202</f>
        <v>1820</v>
      </c>
      <c r="K201" s="272"/>
      <c r="L201" s="272"/>
      <c r="M201" s="272"/>
    </row>
    <row r="202" spans="1:13">
      <c r="A202" s="950"/>
      <c r="B202" s="933"/>
      <c r="C202" s="383">
        <v>150</v>
      </c>
      <c r="D202" s="384">
        <v>0</v>
      </c>
      <c r="E202" s="383">
        <f t="shared" si="6"/>
        <v>0</v>
      </c>
      <c r="F202" s="952"/>
      <c r="K202" s="272"/>
      <c r="L202" s="272"/>
      <c r="M202" s="272"/>
    </row>
    <row r="203" spans="1:13" ht="18.75" customHeight="1">
      <c r="A203" s="949">
        <v>2020</v>
      </c>
      <c r="B203" s="922" t="str">
        <f>B15</f>
        <v>Фактически исполнено за 10 месяцев</v>
      </c>
      <c r="C203" s="383">
        <v>260</v>
      </c>
      <c r="D203" s="385">
        <v>1</v>
      </c>
      <c r="E203" s="383">
        <f t="shared" ref="E203:E208" si="7">C203*D203</f>
        <v>260</v>
      </c>
      <c r="F203" s="951">
        <f>E203+E204</f>
        <v>260</v>
      </c>
      <c r="K203" s="272"/>
      <c r="L203" s="272"/>
      <c r="M203" s="355"/>
    </row>
    <row r="204" spans="1:13" ht="18.75" customHeight="1">
      <c r="A204" s="957"/>
      <c r="B204" s="922"/>
      <c r="C204" s="383">
        <v>150</v>
      </c>
      <c r="D204" s="385">
        <v>0</v>
      </c>
      <c r="E204" s="383">
        <f t="shared" si="7"/>
        <v>0</v>
      </c>
      <c r="F204" s="952"/>
      <c r="K204" s="272"/>
      <c r="L204" s="176"/>
      <c r="M204" s="272"/>
    </row>
    <row r="205" spans="1:13" ht="18.75" customHeight="1">
      <c r="A205" s="957"/>
      <c r="B205" s="931" t="s">
        <v>469</v>
      </c>
      <c r="C205" s="383">
        <v>260</v>
      </c>
      <c r="D205" s="384">
        <v>1</v>
      </c>
      <c r="E205" s="383">
        <f>C205*D205</f>
        <v>260</v>
      </c>
      <c r="F205" s="951">
        <f>E205+E206</f>
        <v>260</v>
      </c>
      <c r="H205" s="272"/>
      <c r="K205" s="272"/>
      <c r="L205" s="272"/>
      <c r="M205" s="272"/>
    </row>
    <row r="206" spans="1:13" ht="18.75" customHeight="1">
      <c r="A206" s="950"/>
      <c r="B206" s="933"/>
      <c r="C206" s="383">
        <v>150</v>
      </c>
      <c r="D206" s="384">
        <v>0</v>
      </c>
      <c r="E206" s="383">
        <f t="shared" si="7"/>
        <v>0</v>
      </c>
      <c r="F206" s="952"/>
      <c r="H206" s="272"/>
      <c r="K206" s="272"/>
      <c r="L206" s="272"/>
      <c r="M206" s="272"/>
    </row>
    <row r="207" spans="1:13">
      <c r="A207" s="923">
        <v>2021</v>
      </c>
      <c r="B207" s="922" t="s">
        <v>470</v>
      </c>
      <c r="C207" s="383">
        <v>260</v>
      </c>
      <c r="D207" s="385">
        <v>2</v>
      </c>
      <c r="E207" s="383">
        <f t="shared" si="7"/>
        <v>520</v>
      </c>
      <c r="F207" s="944">
        <f>E207+E208</f>
        <v>520</v>
      </c>
      <c r="H207" s="272"/>
      <c r="K207" s="272"/>
      <c r="L207" s="272"/>
      <c r="M207" s="272"/>
    </row>
    <row r="208" spans="1:13">
      <c r="A208" s="923"/>
      <c r="B208" s="922"/>
      <c r="C208" s="383">
        <v>150</v>
      </c>
      <c r="D208" s="385">
        <v>0</v>
      </c>
      <c r="E208" s="383">
        <f t="shared" si="7"/>
        <v>0</v>
      </c>
      <c r="F208" s="945"/>
    </row>
    <row r="209" spans="1:12" ht="23.25" customHeight="1">
      <c r="A209" s="923"/>
      <c r="B209" s="922"/>
      <c r="C209" s="958" t="s">
        <v>141</v>
      </c>
      <c r="D209" s="959"/>
      <c r="E209" s="960"/>
      <c r="F209" s="182" t="s">
        <v>515</v>
      </c>
    </row>
    <row r="210" spans="1:12">
      <c r="A210" s="300"/>
      <c r="B210" s="300"/>
      <c r="C210" s="300"/>
      <c r="D210" s="300"/>
      <c r="E210" s="300"/>
      <c r="F210" s="300"/>
    </row>
    <row r="211" spans="1:12" ht="15.75">
      <c r="A211" s="924" t="s">
        <v>545</v>
      </c>
      <c r="B211" s="924"/>
      <c r="C211" s="924"/>
      <c r="D211" s="924"/>
      <c r="E211" s="924"/>
      <c r="F211" s="924"/>
    </row>
    <row r="212" spans="1:12" ht="65.25" customHeight="1">
      <c r="A212" s="947" t="s">
        <v>349</v>
      </c>
      <c r="B212" s="947"/>
      <c r="C212" s="328" t="s">
        <v>541</v>
      </c>
      <c r="D212" s="328" t="s">
        <v>142</v>
      </c>
      <c r="E212" s="328" t="s">
        <v>143</v>
      </c>
      <c r="F212" s="381"/>
      <c r="J212" s="280"/>
      <c r="K212" s="272"/>
      <c r="L212" s="356"/>
    </row>
    <row r="213" spans="1:12" hidden="1">
      <c r="A213" s="434"/>
      <c r="B213" s="386" t="s">
        <v>546</v>
      </c>
      <c r="C213" s="270"/>
      <c r="D213" s="387">
        <v>1828.1</v>
      </c>
      <c r="E213" s="387">
        <v>1828.1</v>
      </c>
      <c r="K213" s="272"/>
      <c r="L213" s="272"/>
    </row>
    <row r="214" spans="1:12">
      <c r="A214" s="948" t="s">
        <v>547</v>
      </c>
      <c r="B214" s="948"/>
      <c r="C214" s="389">
        <v>260</v>
      </c>
      <c r="D214" s="391">
        <f>493-D201</f>
        <v>486</v>
      </c>
      <c r="E214" s="391">
        <f>D214-D205</f>
        <v>485</v>
      </c>
      <c r="K214" s="272"/>
      <c r="L214" s="272"/>
    </row>
    <row r="215" spans="1:12" ht="28.5" customHeight="1">
      <c r="A215" s="918" t="s">
        <v>548</v>
      </c>
      <c r="B215" s="919"/>
      <c r="C215" s="389">
        <v>150</v>
      </c>
      <c r="D215" s="390">
        <v>0</v>
      </c>
      <c r="E215" s="391">
        <f>D215</f>
        <v>0</v>
      </c>
      <c r="G215" s="280"/>
      <c r="K215" s="392"/>
      <c r="L215" s="393"/>
    </row>
    <row r="216" spans="1:12">
      <c r="A216" s="388"/>
      <c r="C216" s="394"/>
      <c r="I216" s="280"/>
      <c r="K216" s="392"/>
      <c r="L216" s="393"/>
    </row>
    <row r="217" spans="1:12">
      <c r="A217" s="388"/>
      <c r="C217" s="262">
        <v>2015</v>
      </c>
      <c r="D217" s="334">
        <f>ROUND(2.75,1)</f>
        <v>2.8</v>
      </c>
      <c r="I217" s="280"/>
      <c r="K217" s="392"/>
      <c r="L217" s="393"/>
    </row>
    <row r="218" spans="1:12">
      <c r="A218" s="388"/>
      <c r="C218" s="262">
        <v>2016</v>
      </c>
      <c r="D218" s="334">
        <f>ROUND(9.4,1)</f>
        <v>9.4</v>
      </c>
      <c r="I218" s="280"/>
      <c r="K218" s="392"/>
      <c r="L218" s="393"/>
    </row>
    <row r="219" spans="1:12">
      <c r="A219" s="388"/>
      <c r="C219" s="262">
        <v>2017</v>
      </c>
      <c r="D219" s="334">
        <f>ROUND(1.3,1)</f>
        <v>1.3</v>
      </c>
      <c r="I219" s="280"/>
      <c r="K219" s="392"/>
      <c r="L219" s="393"/>
    </row>
    <row r="220" spans="1:12">
      <c r="A220" s="388"/>
      <c r="C220" s="262">
        <v>2018</v>
      </c>
      <c r="D220" s="334">
        <f>ROUND(1450/1000,1)</f>
        <v>1.5</v>
      </c>
      <c r="I220" s="280"/>
      <c r="K220" s="392"/>
      <c r="L220" s="393"/>
    </row>
    <row r="221" spans="1:12">
      <c r="A221" s="388"/>
      <c r="C221" s="262">
        <v>2019</v>
      </c>
      <c r="D221" s="334">
        <f>ROUND(F201/1000,1)</f>
        <v>1.8</v>
      </c>
      <c r="I221" s="280"/>
      <c r="K221" s="392"/>
      <c r="L221" s="393"/>
    </row>
    <row r="222" spans="1:12">
      <c r="A222" s="388"/>
      <c r="C222" s="262">
        <v>2020</v>
      </c>
      <c r="D222" s="334">
        <f>ROUND(F205/1000,1)</f>
        <v>0.3</v>
      </c>
      <c r="I222" s="280"/>
      <c r="K222" s="392"/>
      <c r="L222" s="393"/>
    </row>
    <row r="223" spans="1:12">
      <c r="A223" s="388"/>
      <c r="C223" s="262">
        <v>2021</v>
      </c>
      <c r="D223" s="334">
        <f>ROUND(F207/1000,1)</f>
        <v>0.5</v>
      </c>
      <c r="I223" s="280"/>
      <c r="K223" s="392"/>
      <c r="L223" s="393"/>
    </row>
    <row r="224" spans="1:12">
      <c r="A224" s="388"/>
      <c r="C224" s="394"/>
      <c r="I224" s="280"/>
      <c r="K224" s="392"/>
      <c r="L224" s="393"/>
    </row>
    <row r="225" spans="1:12">
      <c r="A225" s="388"/>
      <c r="C225" s="394"/>
      <c r="I225" s="280"/>
      <c r="K225" s="392"/>
      <c r="L225" s="393"/>
    </row>
    <row r="226" spans="1:12">
      <c r="A226" s="388"/>
      <c r="C226" s="394"/>
      <c r="I226" s="280"/>
      <c r="K226" s="392"/>
      <c r="L226" s="393"/>
    </row>
    <row r="227" spans="1:12">
      <c r="A227" s="388"/>
      <c r="C227" s="394"/>
      <c r="I227" s="280"/>
      <c r="K227" s="392"/>
      <c r="L227" s="393"/>
    </row>
    <row r="228" spans="1:12">
      <c r="A228" s="388"/>
      <c r="C228" s="394"/>
      <c r="I228" s="280"/>
      <c r="K228" s="392"/>
      <c r="L228" s="393"/>
    </row>
    <row r="229" spans="1:12">
      <c r="A229" s="388"/>
      <c r="C229" s="394"/>
      <c r="I229" s="280"/>
      <c r="K229" s="392"/>
      <c r="L229" s="393"/>
    </row>
    <row r="230" spans="1:12">
      <c r="A230" s="388"/>
      <c r="C230" s="394"/>
      <c r="I230" s="280"/>
      <c r="K230" s="392"/>
      <c r="L230" s="393"/>
    </row>
    <row r="231" spans="1:12" ht="28.5" customHeight="1">
      <c r="A231" s="953" t="s">
        <v>549</v>
      </c>
      <c r="B231" s="953"/>
      <c r="D231" s="151" t="s">
        <v>550</v>
      </c>
      <c r="H231" s="280"/>
      <c r="L231" s="170"/>
    </row>
    <row r="232" spans="1:12">
      <c r="A232" s="395"/>
      <c r="B232" s="395"/>
      <c r="F232" s="396"/>
    </row>
    <row r="233" spans="1:12" ht="17.25">
      <c r="A233" s="397"/>
      <c r="B233" s="280"/>
      <c r="C233" s="280"/>
    </row>
    <row r="234" spans="1:12">
      <c r="A234" s="398"/>
      <c r="I234" s="280"/>
    </row>
    <row r="235" spans="1:12">
      <c r="A235" s="388"/>
      <c r="I235" s="280"/>
    </row>
    <row r="236" spans="1:12">
      <c r="A236" s="388"/>
    </row>
    <row r="237" spans="1:12">
      <c r="A237" s="388"/>
    </row>
    <row r="238" spans="1:12">
      <c r="A238" s="388"/>
    </row>
    <row r="239" spans="1:12">
      <c r="A239" s="388"/>
    </row>
    <row r="240" spans="1:12">
      <c r="A240" s="388"/>
    </row>
    <row r="241" spans="1:1">
      <c r="A241" s="388"/>
    </row>
    <row r="242" spans="1:1">
      <c r="A242" s="388"/>
    </row>
    <row r="243" spans="1:1">
      <c r="A243" s="388"/>
    </row>
    <row r="244" spans="1:1">
      <c r="A244" s="388"/>
    </row>
    <row r="245" spans="1:1">
      <c r="A245" s="388"/>
    </row>
    <row r="246" spans="1:1">
      <c r="A246" s="388"/>
    </row>
    <row r="247" spans="1:1">
      <c r="A247" s="388"/>
    </row>
    <row r="248" spans="1:1">
      <c r="A248" s="388"/>
    </row>
    <row r="249" spans="1:1">
      <c r="A249" s="388"/>
    </row>
  </sheetData>
  <mergeCells count="82">
    <mergeCell ref="F64:I64"/>
    <mergeCell ref="F65:I65"/>
    <mergeCell ref="F70:I70"/>
    <mergeCell ref="F71:I71"/>
    <mergeCell ref="F69:I69"/>
    <mergeCell ref="C69:C70"/>
    <mergeCell ref="H11:I12"/>
    <mergeCell ref="E38:F39"/>
    <mergeCell ref="A36:F36"/>
    <mergeCell ref="A53:B53"/>
    <mergeCell ref="A47:D47"/>
    <mergeCell ref="B63:D63"/>
    <mergeCell ref="C209:E209"/>
    <mergeCell ref="A132:F132"/>
    <mergeCell ref="F195:F196"/>
    <mergeCell ref="A197:A198"/>
    <mergeCell ref="F197:F198"/>
    <mergeCell ref="A199:A200"/>
    <mergeCell ref="F199:F200"/>
    <mergeCell ref="B139:G139"/>
    <mergeCell ref="B207:B209"/>
    <mergeCell ref="A207:A209"/>
    <mergeCell ref="A231:B231"/>
    <mergeCell ref="A74:F74"/>
    <mergeCell ref="A101:F101"/>
    <mergeCell ref="A134:F134"/>
    <mergeCell ref="A166:F166"/>
    <mergeCell ref="B203:B204"/>
    <mergeCell ref="A203:A206"/>
    <mergeCell ref="F203:F204"/>
    <mergeCell ref="B205:B206"/>
    <mergeCell ref="F205:F206"/>
    <mergeCell ref="F207:F208"/>
    <mergeCell ref="A98:B98"/>
    <mergeCell ref="A212:B212"/>
    <mergeCell ref="A214:B214"/>
    <mergeCell ref="B108:B112"/>
    <mergeCell ref="A195:A196"/>
    <mergeCell ref="B173:B177"/>
    <mergeCell ref="A201:A202"/>
    <mergeCell ref="B195:B202"/>
    <mergeCell ref="F201:F202"/>
    <mergeCell ref="A56:F56"/>
    <mergeCell ref="A45:F45"/>
    <mergeCell ref="B106:D106"/>
    <mergeCell ref="C113:C114"/>
    <mergeCell ref="B115:B116"/>
    <mergeCell ref="C115:C116"/>
    <mergeCell ref="A58:F58"/>
    <mergeCell ref="A79:G79"/>
    <mergeCell ref="B65:B66"/>
    <mergeCell ref="B71:D71"/>
    <mergeCell ref="C67:C68"/>
    <mergeCell ref="B69:B70"/>
    <mergeCell ref="F66:I66"/>
    <mergeCell ref="F67:I67"/>
    <mergeCell ref="F68:I68"/>
    <mergeCell ref="M191:O191"/>
    <mergeCell ref="L140:O140"/>
    <mergeCell ref="O2:O4"/>
    <mergeCell ref="A4:F4"/>
    <mergeCell ref="A1:F1"/>
    <mergeCell ref="A2:F2"/>
    <mergeCell ref="L2:L4"/>
    <mergeCell ref="M2:M4"/>
    <mergeCell ref="N2:N4"/>
    <mergeCell ref="B10:F10"/>
    <mergeCell ref="C15:C16"/>
    <mergeCell ref="B17:B18"/>
    <mergeCell ref="C17:C18"/>
    <mergeCell ref="D18:E18"/>
    <mergeCell ref="B12:B14"/>
    <mergeCell ref="A215:B215"/>
    <mergeCell ref="C140:E140"/>
    <mergeCell ref="A188:F188"/>
    <mergeCell ref="B180:B181"/>
    <mergeCell ref="C180:C181"/>
    <mergeCell ref="A211:F211"/>
    <mergeCell ref="B140:B141"/>
    <mergeCell ref="B171:D171"/>
    <mergeCell ref="C178:C179"/>
    <mergeCell ref="A193:F193"/>
  </mergeCells>
  <phoneticPr fontId="0" type="noConversion"/>
  <pageMargins left="0.51181102362204722" right="0.11811023622047245" top="0.74803149606299213" bottom="0.35433070866141736" header="0.31496062992125984" footer="0.31496062992125984"/>
  <pageSetup paperSize="9" scale="43" fitToHeight="0" orientation="portrait" r:id="rId1"/>
  <drawing r:id="rId2"/>
  <legacyDrawing r:id="rId3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8"/>
  <sheetViews>
    <sheetView showZeros="0" topLeftCell="A40" workbookViewId="0">
      <selection activeCell="I45" sqref="I45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17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7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7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7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7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4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6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</row>
    <row r="12" spans="1:9" s="170" customFormat="1">
      <c r="A12" s="1041" t="s">
        <v>773</v>
      </c>
      <c r="B12" s="1041"/>
      <c r="C12" s="1041"/>
      <c r="D12" s="1041"/>
      <c r="E12" s="1041"/>
      <c r="F12" s="1041"/>
      <c r="G12" s="1041"/>
      <c r="H12" s="1041"/>
      <c r="I12" s="574"/>
    </row>
    <row r="13" spans="1:9" s="170" customFormat="1" ht="6" customHeight="1">
      <c r="E13" s="722"/>
      <c r="F13" s="722"/>
      <c r="G13" s="722"/>
      <c r="H13" s="722"/>
      <c r="I13" s="574"/>
    </row>
    <row r="14" spans="1:9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574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47"/>
    </row>
    <row r="16" spans="1:9">
      <c r="A16" s="512" t="s">
        <v>852</v>
      </c>
      <c r="B16" s="728" t="s">
        <v>426</v>
      </c>
      <c r="C16" s="728" t="s">
        <v>426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92.5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733"/>
      <c r="F23" s="508">
        <v>214</v>
      </c>
      <c r="G23" s="508">
        <v>831</v>
      </c>
      <c r="H23" s="264"/>
    </row>
    <row r="24" spans="1:8">
      <c r="A24" s="513" t="s">
        <v>857</v>
      </c>
      <c r="B24" s="726"/>
      <c r="C24" s="726"/>
      <c r="D24" s="726"/>
      <c r="E24" s="726"/>
      <c r="F24" s="506">
        <v>220</v>
      </c>
      <c r="G24" s="506"/>
      <c r="H24" s="727">
        <f>H25+H26+H28+H32+H36</f>
        <v>0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8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8">
      <c r="A32" s="514" t="s">
        <v>859</v>
      </c>
      <c r="B32" s="728"/>
      <c r="C32" s="728"/>
      <c r="D32" s="728"/>
      <c r="E32" s="728"/>
      <c r="F32" s="507">
        <v>225</v>
      </c>
      <c r="G32" s="507"/>
      <c r="H32" s="730">
        <f>SUM(H33:H35)</f>
        <v>0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/>
      <c r="C34" s="732"/>
      <c r="D34" s="732"/>
      <c r="E34" s="732"/>
      <c r="F34" s="508">
        <v>225</v>
      </c>
      <c r="G34" s="508" t="s">
        <v>583</v>
      </c>
      <c r="H34" s="264"/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>SUM(H37:H43)</f>
        <v>0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48"/>
    </row>
    <row r="38" spans="1:9">
      <c r="A38" s="515" t="s">
        <v>586</v>
      </c>
      <c r="B38" s="732"/>
      <c r="C38" s="732"/>
      <c r="D38" s="732"/>
      <c r="E38" s="408"/>
      <c r="F38" s="508">
        <v>226</v>
      </c>
      <c r="G38" s="508" t="s">
        <v>587</v>
      </c>
      <c r="H38" s="264"/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408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 t="s">
        <v>426</v>
      </c>
      <c r="C44" s="737" t="s">
        <v>426</v>
      </c>
      <c r="D44" s="737" t="s">
        <v>708</v>
      </c>
      <c r="E44" s="737" t="s">
        <v>850</v>
      </c>
      <c r="F44" s="506">
        <v>240</v>
      </c>
      <c r="G44" s="506"/>
      <c r="H44" s="738">
        <f>H45</f>
        <v>92.5</v>
      </c>
    </row>
    <row r="45" spans="1:9" ht="24">
      <c r="A45" s="770" t="s">
        <v>851</v>
      </c>
      <c r="B45" s="529" t="s">
        <v>426</v>
      </c>
      <c r="C45" s="529" t="s">
        <v>426</v>
      </c>
      <c r="D45" s="529" t="s">
        <v>708</v>
      </c>
      <c r="E45" s="529" t="s">
        <v>850</v>
      </c>
      <c r="F45" s="511">
        <v>244</v>
      </c>
      <c r="G45" s="511"/>
      <c r="H45" s="528">
        <f ca="1">рРитуал!H11</f>
        <v>92.5</v>
      </c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737"/>
      <c r="C48" s="737"/>
      <c r="D48" s="737"/>
      <c r="E48" s="731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9">
      <c r="A65" s="517" t="s">
        <v>710</v>
      </c>
      <c r="B65" s="728" t="s">
        <v>426</v>
      </c>
      <c r="C65" s="728" t="s">
        <v>426</v>
      </c>
      <c r="D65" s="728" t="s">
        <v>207</v>
      </c>
      <c r="E65" s="728" t="s">
        <v>386</v>
      </c>
      <c r="F65" s="511"/>
      <c r="G65" s="511"/>
      <c r="H65" s="730">
        <f ca="1">рРитуал!H9</f>
        <v>50.5</v>
      </c>
    </row>
    <row r="66" spans="1:9">
      <c r="A66" s="517" t="s">
        <v>710</v>
      </c>
      <c r="B66" s="728" t="s">
        <v>426</v>
      </c>
      <c r="C66" s="728" t="s">
        <v>426</v>
      </c>
      <c r="D66" s="728" t="s">
        <v>880</v>
      </c>
      <c r="E66" s="728" t="s">
        <v>386</v>
      </c>
      <c r="F66" s="511"/>
      <c r="G66" s="511"/>
      <c r="H66" s="730">
        <f ca="1">рРитуал!H10</f>
        <v>42</v>
      </c>
    </row>
    <row r="67" spans="1:9">
      <c r="A67" s="519" t="s">
        <v>602</v>
      </c>
      <c r="B67" s="728" t="s">
        <v>426</v>
      </c>
      <c r="C67" s="728" t="s">
        <v>426</v>
      </c>
      <c r="D67" s="728" t="s">
        <v>708</v>
      </c>
      <c r="E67" s="728" t="s">
        <v>570</v>
      </c>
      <c r="F67" s="518"/>
      <c r="G67" s="518"/>
      <c r="H67" s="730">
        <f>H59+H16</f>
        <v>92.5</v>
      </c>
      <c r="I67" s="574">
        <f>SUM(I16:I64)</f>
        <v>0</v>
      </c>
    </row>
    <row r="68" spans="1:9">
      <c r="A68" s="742"/>
      <c r="B68" s="743"/>
      <c r="C68" s="743"/>
      <c r="D68" s="743"/>
      <c r="E68" s="743"/>
      <c r="F68" s="743"/>
      <c r="G68" s="743"/>
      <c r="H68" s="744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92D050"/>
  </sheetPr>
  <dimension ref="A1:K17"/>
  <sheetViews>
    <sheetView workbookViewId="0">
      <selection activeCell="G10" sqref="G10"/>
    </sheetView>
  </sheetViews>
  <sheetFormatPr defaultColWidth="10.5703125" defaultRowHeight="15"/>
  <cols>
    <col min="1" max="1" width="4" style="262" customWidth="1"/>
    <col min="2" max="2" width="27.85546875" style="262" customWidth="1"/>
    <col min="3" max="4" width="6.5703125" style="262" customWidth="1"/>
    <col min="5" max="5" width="12.42578125" style="262" customWidth="1"/>
    <col min="6" max="6" width="12.7109375" style="262" customWidth="1"/>
    <col min="7" max="7" width="11.7109375" style="262" customWidth="1"/>
    <col min="8" max="8" width="11.5703125" style="262" customWidth="1"/>
    <col min="9" max="9" width="12.5703125" style="262" customWidth="1"/>
    <col min="10" max="10" width="10.5703125" style="262" bestFit="1" customWidth="1"/>
    <col min="11" max="11" width="9.140625" style="262" customWidth="1"/>
    <col min="12" max="12" width="12.140625" style="262" customWidth="1"/>
    <col min="13" max="254" width="9.140625" style="262" customWidth="1"/>
    <col min="255" max="255" width="4" style="262" customWidth="1"/>
    <col min="256" max="16384" width="10.5703125" style="262"/>
  </cols>
  <sheetData>
    <row r="1" spans="1:11">
      <c r="A1" s="1041" t="s">
        <v>747</v>
      </c>
      <c r="B1" s="1041"/>
      <c r="C1" s="1041"/>
      <c r="D1" s="1041"/>
      <c r="E1" s="1041"/>
      <c r="F1" s="1041"/>
      <c r="G1" s="1041"/>
      <c r="H1" s="1041"/>
    </row>
    <row r="3" spans="1:11" ht="15.75">
      <c r="A3" s="1003" t="s">
        <v>609</v>
      </c>
      <c r="B3" s="1003"/>
      <c r="C3" s="1003"/>
      <c r="D3" s="1003"/>
      <c r="E3" s="1003"/>
      <c r="F3" s="1003"/>
      <c r="G3" s="1003"/>
      <c r="H3" s="1003"/>
    </row>
    <row r="4" spans="1:11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</row>
    <row r="5" spans="1:11" ht="15" customHeight="1">
      <c r="A5" s="186"/>
      <c r="B5" s="186"/>
      <c r="C5" s="186"/>
      <c r="D5" s="186"/>
      <c r="E5" s="186"/>
      <c r="F5" s="186"/>
      <c r="G5" s="186"/>
      <c r="H5" s="188"/>
    </row>
    <row r="6" spans="1:11" ht="31.5" customHeight="1">
      <c r="A6" s="1088" t="s">
        <v>65</v>
      </c>
      <c r="B6" s="1088"/>
      <c r="C6" s="1088"/>
      <c r="D6" s="1088"/>
      <c r="E6" s="1088"/>
      <c r="F6" s="1088"/>
      <c r="G6" s="1088"/>
      <c r="H6" s="1088"/>
    </row>
    <row r="7" spans="1:11" ht="24" customHeight="1">
      <c r="A7" s="157" t="s">
        <v>483</v>
      </c>
      <c r="B7" s="157" t="s">
        <v>778</v>
      </c>
      <c r="C7" s="154" t="s">
        <v>568</v>
      </c>
      <c r="D7" s="157" t="s">
        <v>614</v>
      </c>
      <c r="E7" s="184" t="s">
        <v>67</v>
      </c>
      <c r="F7" s="157" t="s">
        <v>66</v>
      </c>
      <c r="G7" s="157" t="s">
        <v>690</v>
      </c>
      <c r="H7" s="157" t="s">
        <v>626</v>
      </c>
    </row>
    <row r="8" spans="1:11">
      <c r="A8" s="160">
        <v>1</v>
      </c>
      <c r="B8" s="160">
        <v>2</v>
      </c>
      <c r="C8" s="160">
        <v>3</v>
      </c>
      <c r="D8" s="160">
        <v>4</v>
      </c>
      <c r="E8" s="242">
        <v>5</v>
      </c>
      <c r="F8" s="160">
        <v>7</v>
      </c>
      <c r="G8" s="160">
        <v>9</v>
      </c>
      <c r="H8" s="160">
        <v>10</v>
      </c>
    </row>
    <row r="9" spans="1:11" ht="36">
      <c r="A9" s="401">
        <v>1</v>
      </c>
      <c r="B9" s="649" t="s">
        <v>208</v>
      </c>
      <c r="C9" s="402">
        <v>244</v>
      </c>
      <c r="D9" s="403"/>
      <c r="E9" s="650">
        <v>2</v>
      </c>
      <c r="F9" s="249">
        <v>25250</v>
      </c>
      <c r="G9" s="249">
        <f>F9*E9</f>
        <v>50500</v>
      </c>
      <c r="H9" s="404">
        <f>ROUND(G9/1000,1)</f>
        <v>50.5</v>
      </c>
    </row>
    <row r="10" spans="1:11" ht="36">
      <c r="A10" s="401">
        <v>2</v>
      </c>
      <c r="B10" s="649" t="s">
        <v>209</v>
      </c>
      <c r="C10" s="402">
        <v>244</v>
      </c>
      <c r="D10" s="403"/>
      <c r="E10" s="650">
        <v>2</v>
      </c>
      <c r="F10" s="249">
        <f>54800-F9-8550</f>
        <v>21000</v>
      </c>
      <c r="G10" s="249">
        <f>F10*E10</f>
        <v>42000</v>
      </c>
      <c r="H10" s="404">
        <f>ROUND(G10/1000,1)</f>
        <v>42</v>
      </c>
      <c r="J10" s="859" t="s">
        <v>184</v>
      </c>
    </row>
    <row r="11" spans="1:11">
      <c r="A11" s="1059" t="s">
        <v>849</v>
      </c>
      <c r="B11" s="1059"/>
      <c r="C11" s="1059"/>
      <c r="D11" s="1059"/>
      <c r="E11" s="1059"/>
      <c r="F11" s="1059"/>
      <c r="G11" s="706">
        <f>SUM(G9:G10)</f>
        <v>92500</v>
      </c>
      <c r="H11" s="275">
        <f>SUM(H9:H10)</f>
        <v>92.5</v>
      </c>
    </row>
    <row r="14" spans="1:11" s="139" customFormat="1">
      <c r="A14" s="992" t="s">
        <v>621</v>
      </c>
      <c r="B14" s="992"/>
      <c r="C14" s="162"/>
      <c r="D14" s="993"/>
      <c r="E14" s="993"/>
      <c r="G14" s="993" t="str">
        <f ca="1">рВДЛ!G29</f>
        <v>М.В. Златова</v>
      </c>
      <c r="H14" s="993"/>
      <c r="J14" s="140"/>
      <c r="K14" s="140"/>
    </row>
    <row r="15" spans="1:11" s="139" customFormat="1">
      <c r="A15" s="1001" t="s">
        <v>554</v>
      </c>
      <c r="B15" s="1001"/>
      <c r="C15" s="163"/>
      <c r="D15" s="1001" t="s">
        <v>555</v>
      </c>
      <c r="E15" s="1001"/>
      <c r="G15" s="1002" t="s">
        <v>556</v>
      </c>
      <c r="H15" s="1002"/>
    </row>
    <row r="16" spans="1:11" s="139" customFormat="1">
      <c r="A16" s="992" t="str">
        <f ca="1">рВДЛ!A31</f>
        <v>Исполнитель: финансист</v>
      </c>
      <c r="B16" s="992"/>
      <c r="C16" s="162"/>
      <c r="D16" s="993"/>
      <c r="E16" s="993"/>
      <c r="G16" s="993" t="str">
        <f ca="1">рВДЛ!G31</f>
        <v>Е.Н. Рыбалка</v>
      </c>
      <c r="H16" s="993"/>
    </row>
    <row r="17" spans="1:8" s="139" customFormat="1">
      <c r="A17" s="1001" t="s">
        <v>554</v>
      </c>
      <c r="B17" s="1001"/>
      <c r="C17" s="163"/>
      <c r="D17" s="1001" t="s">
        <v>555</v>
      </c>
      <c r="E17" s="1001"/>
      <c r="G17" s="1002" t="s">
        <v>556</v>
      </c>
      <c r="H17" s="1002"/>
    </row>
  </sheetData>
  <mergeCells count="17">
    <mergeCell ref="A11:F11"/>
    <mergeCell ref="A1:H1"/>
    <mergeCell ref="A14:B14"/>
    <mergeCell ref="D14:E14"/>
    <mergeCell ref="G14:H14"/>
    <mergeCell ref="A6:H6"/>
    <mergeCell ref="A3:H3"/>
    <mergeCell ref="A4:H4"/>
    <mergeCell ref="A17:B17"/>
    <mergeCell ref="D17:E17"/>
    <mergeCell ref="G17:H17"/>
    <mergeCell ref="A15:B15"/>
    <mergeCell ref="D15:E15"/>
    <mergeCell ref="G15:H15"/>
    <mergeCell ref="A16:B16"/>
    <mergeCell ref="D16:E16"/>
    <mergeCell ref="G16:H1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8"/>
  <sheetViews>
    <sheetView showZeros="0" topLeftCell="A40" workbookViewId="0">
      <selection activeCell="J29" sqref="J29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10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0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0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0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0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3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4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</row>
    <row r="12" spans="1:9" s="170" customFormat="1">
      <c r="A12" s="1041" t="s">
        <v>434</v>
      </c>
      <c r="B12" s="1041"/>
      <c r="C12" s="1041"/>
      <c r="D12" s="1041"/>
      <c r="E12" s="1041"/>
      <c r="F12" s="1041"/>
      <c r="G12" s="1041"/>
      <c r="H12" s="1041"/>
      <c r="I12" s="721"/>
    </row>
    <row r="13" spans="1:9" s="170" customFormat="1" ht="6" customHeight="1">
      <c r="E13" s="722"/>
      <c r="F13" s="722"/>
      <c r="G13" s="722"/>
      <c r="H13" s="722"/>
      <c r="I13" s="721"/>
    </row>
    <row r="14" spans="1:9" s="170" customFormat="1" ht="12.75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721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72"/>
    </row>
    <row r="16" spans="1:9">
      <c r="A16" s="512" t="s">
        <v>852</v>
      </c>
      <c r="B16" s="728" t="s">
        <v>417</v>
      </c>
      <c r="C16" s="728" t="s">
        <v>358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2885.4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408"/>
      <c r="F23" s="508">
        <v>214</v>
      </c>
      <c r="G23" s="508">
        <v>831</v>
      </c>
      <c r="H23" s="264"/>
    </row>
    <row r="24" spans="1:8">
      <c r="A24" s="513" t="s">
        <v>857</v>
      </c>
      <c r="B24" s="726"/>
      <c r="C24" s="726"/>
      <c r="D24" s="726"/>
      <c r="E24" s="726"/>
      <c r="F24" s="506">
        <v>220</v>
      </c>
      <c r="G24" s="506"/>
      <c r="H24" s="727">
        <f>H25+H26+H28+H32+H36</f>
        <v>0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8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8">
      <c r="A32" s="514" t="s">
        <v>859</v>
      </c>
      <c r="B32" s="728"/>
      <c r="C32" s="728"/>
      <c r="D32" s="728"/>
      <c r="E32" s="728"/>
      <c r="F32" s="507">
        <v>225</v>
      </c>
      <c r="G32" s="507"/>
      <c r="H32" s="730">
        <f>SUM(H33:H35)</f>
        <v>0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/>
      <c r="C34" s="732"/>
      <c r="D34" s="732"/>
      <c r="E34" s="732"/>
      <c r="F34" s="508">
        <v>225</v>
      </c>
      <c r="G34" s="508" t="s">
        <v>583</v>
      </c>
      <c r="H34" s="264"/>
      <c r="I34" s="721"/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>SUM(H37:H43)</f>
        <v>0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73"/>
    </row>
    <row r="38" spans="1:9">
      <c r="A38" s="515" t="s">
        <v>586</v>
      </c>
      <c r="B38" s="732"/>
      <c r="C38" s="732"/>
      <c r="D38" s="732"/>
      <c r="E38" s="408"/>
      <c r="F38" s="508">
        <v>226</v>
      </c>
      <c r="G38" s="508" t="s">
        <v>587</v>
      </c>
      <c r="H38" s="264"/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408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70" t="s">
        <v>851</v>
      </c>
      <c r="B45" s="529"/>
      <c r="C45" s="529"/>
      <c r="D45" s="529"/>
      <c r="E45" s="529"/>
      <c r="F45" s="511">
        <v>244</v>
      </c>
      <c r="G45" s="511"/>
      <c r="H45" s="528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  <c r="I46" s="721"/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737" t="s">
        <v>417</v>
      </c>
      <c r="C48" s="737" t="s">
        <v>358</v>
      </c>
      <c r="D48" s="737" t="s">
        <v>197</v>
      </c>
      <c r="E48" s="737" t="s">
        <v>436</v>
      </c>
      <c r="F48" s="506" t="s">
        <v>591</v>
      </c>
      <c r="G48" s="506"/>
      <c r="H48" s="738">
        <f>H49+H51</f>
        <v>2885.4</v>
      </c>
    </row>
    <row r="49" spans="1:8" ht="24">
      <c r="A49" s="514" t="s">
        <v>866</v>
      </c>
      <c r="B49" s="529" t="s">
        <v>417</v>
      </c>
      <c r="C49" s="529" t="s">
        <v>358</v>
      </c>
      <c r="D49" s="529" t="s">
        <v>197</v>
      </c>
      <c r="E49" s="529" t="s">
        <v>769</v>
      </c>
      <c r="F49" s="507">
        <v>264</v>
      </c>
      <c r="G49" s="507"/>
      <c r="H49" s="528">
        <f>H50</f>
        <v>2885.4</v>
      </c>
    </row>
    <row r="50" spans="1:8">
      <c r="A50" s="515" t="s">
        <v>592</v>
      </c>
      <c r="B50" s="732" t="s">
        <v>417</v>
      </c>
      <c r="C50" s="732" t="s">
        <v>358</v>
      </c>
      <c r="D50" s="732" t="s">
        <v>197</v>
      </c>
      <c r="E50" s="732" t="s">
        <v>769</v>
      </c>
      <c r="F50" s="508">
        <v>264</v>
      </c>
      <c r="G50" s="508" t="s">
        <v>593</v>
      </c>
      <c r="H50" s="264">
        <f ca="1">рПенс!H20</f>
        <v>2885.4</v>
      </c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9">
      <c r="A65" s="517" t="s">
        <v>710</v>
      </c>
      <c r="B65" s="728" t="s">
        <v>417</v>
      </c>
      <c r="C65" s="728" t="s">
        <v>358</v>
      </c>
      <c r="D65" s="728" t="s">
        <v>197</v>
      </c>
      <c r="E65" s="728" t="s">
        <v>436</v>
      </c>
      <c r="F65" s="511"/>
      <c r="G65" s="511"/>
      <c r="H65" s="730">
        <f>H49</f>
        <v>2885.4</v>
      </c>
    </row>
    <row r="66" spans="1:9">
      <c r="A66" s="519" t="s">
        <v>602</v>
      </c>
      <c r="B66" s="728" t="s">
        <v>417</v>
      </c>
      <c r="C66" s="728" t="s">
        <v>358</v>
      </c>
      <c r="D66" s="728" t="s">
        <v>708</v>
      </c>
      <c r="E66" s="728" t="s">
        <v>570</v>
      </c>
      <c r="F66" s="518"/>
      <c r="G66" s="518"/>
      <c r="H66" s="730">
        <f>H59+H16</f>
        <v>2885.4</v>
      </c>
      <c r="I66" s="574">
        <f>SUM(I16:I64)</f>
        <v>0</v>
      </c>
    </row>
    <row r="67" spans="1:9">
      <c r="A67" s="742"/>
      <c r="B67" s="743"/>
      <c r="C67" s="743"/>
      <c r="D67" s="743"/>
      <c r="E67" s="743"/>
      <c r="F67" s="743"/>
      <c r="G67" s="743"/>
      <c r="H67" s="744"/>
    </row>
    <row r="68" spans="1:9">
      <c r="I68" s="721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92D050"/>
  </sheetPr>
  <dimension ref="A1:M26"/>
  <sheetViews>
    <sheetView workbookViewId="0">
      <selection activeCell="A7" sqref="A7:H7"/>
    </sheetView>
  </sheetViews>
  <sheetFormatPr defaultColWidth="11.7109375" defaultRowHeight="15"/>
  <cols>
    <col min="1" max="1" width="5.85546875" style="262" customWidth="1"/>
    <col min="2" max="2" width="22.7109375" style="262" customWidth="1"/>
    <col min="3" max="3" width="7.42578125" style="262" customWidth="1"/>
    <col min="4" max="4" width="8" style="262" customWidth="1"/>
    <col min="5" max="5" width="9.140625" style="262" customWidth="1"/>
    <col min="6" max="6" width="13.5703125" style="262" customWidth="1"/>
    <col min="7" max="7" width="8.85546875" style="262" customWidth="1"/>
    <col min="8" max="8" width="11.5703125" style="262" customWidth="1"/>
    <col min="9" max="244" width="9.140625" style="262" customWidth="1"/>
    <col min="245" max="245" width="5.85546875" style="262" customWidth="1"/>
    <col min="246" max="246" width="10.5703125" style="262" customWidth="1"/>
    <col min="247" max="247" width="11.140625" style="262" customWidth="1"/>
    <col min="248" max="248" width="7.42578125" style="262" customWidth="1"/>
    <col min="249" max="249" width="8" style="262" customWidth="1"/>
    <col min="250" max="250" width="9.140625" style="262" customWidth="1"/>
    <col min="251" max="251" width="7.140625" style="262" customWidth="1"/>
    <col min="252" max="252" width="7.5703125" style="262" customWidth="1"/>
    <col min="253" max="253" width="8.85546875" style="262" customWidth="1"/>
    <col min="254" max="254" width="11.5703125" style="262" customWidth="1"/>
    <col min="255" max="255" width="9.140625" style="262" customWidth="1"/>
    <col min="256" max="256" width="11.7109375" style="262" bestFit="1"/>
    <col min="257" max="16384" width="11.7109375" style="262"/>
  </cols>
  <sheetData>
    <row r="1" spans="1:13">
      <c r="A1" s="1147" t="s">
        <v>434</v>
      </c>
      <c r="B1" s="1147"/>
      <c r="C1" s="1147"/>
      <c r="D1" s="1147"/>
      <c r="E1" s="1147"/>
      <c r="F1" s="1147"/>
      <c r="G1" s="1147"/>
      <c r="H1" s="1147"/>
    </row>
    <row r="3" spans="1:13" ht="15.75">
      <c r="A3" s="1038" t="s">
        <v>609</v>
      </c>
      <c r="B3" s="1038"/>
      <c r="C3" s="1038"/>
      <c r="D3" s="1038"/>
      <c r="E3" s="1038"/>
      <c r="F3" s="1038"/>
      <c r="G3" s="1038"/>
      <c r="H3" s="1038"/>
    </row>
    <row r="4" spans="1:13" ht="15" customHeight="1">
      <c r="A4" s="1004" t="str">
        <f ca="1">'СВОД смет'!A7:H7</f>
        <v>на 2021 год</v>
      </c>
      <c r="B4" s="1004"/>
      <c r="C4" s="1004"/>
      <c r="D4" s="1004"/>
      <c r="E4" s="1004"/>
      <c r="F4" s="1004"/>
      <c r="G4" s="1004"/>
      <c r="H4" s="1004"/>
    </row>
    <row r="5" spans="1:13" ht="15" customHeight="1"/>
    <row r="6" spans="1:13">
      <c r="A6" s="170"/>
      <c r="B6" s="170"/>
      <c r="C6" s="170"/>
      <c r="D6" s="170"/>
      <c r="E6" s="170"/>
      <c r="F6" s="170"/>
      <c r="G6" s="170"/>
      <c r="H6" s="170"/>
    </row>
    <row r="7" spans="1:13" ht="30" customHeight="1">
      <c r="A7" s="1088" t="s">
        <v>180</v>
      </c>
      <c r="B7" s="1088"/>
      <c r="C7" s="1088"/>
      <c r="D7" s="1088"/>
      <c r="E7" s="1088"/>
      <c r="F7" s="1088"/>
      <c r="G7" s="1088"/>
      <c r="H7" s="1088"/>
      <c r="J7" s="151"/>
      <c r="K7" s="151"/>
      <c r="L7" s="151"/>
      <c r="M7" s="151"/>
    </row>
    <row r="8" spans="1:13" ht="24">
      <c r="A8" s="154" t="s">
        <v>483</v>
      </c>
      <c r="B8" s="157" t="s">
        <v>715</v>
      </c>
      <c r="C8" s="154" t="s">
        <v>568</v>
      </c>
      <c r="D8" s="157" t="s">
        <v>614</v>
      </c>
      <c r="E8" s="407" t="s">
        <v>751</v>
      </c>
      <c r="F8" s="157" t="s">
        <v>752</v>
      </c>
      <c r="G8" s="157" t="s">
        <v>748</v>
      </c>
      <c r="H8" s="157" t="s">
        <v>626</v>
      </c>
    </row>
    <row r="9" spans="1:13">
      <c r="A9" s="159">
        <v>1</v>
      </c>
      <c r="B9" s="159">
        <v>2</v>
      </c>
      <c r="C9" s="159">
        <v>3</v>
      </c>
      <c r="D9" s="159">
        <v>4</v>
      </c>
      <c r="E9" s="159">
        <v>5</v>
      </c>
      <c r="F9" s="159">
        <v>6</v>
      </c>
      <c r="G9" s="159">
        <v>7</v>
      </c>
      <c r="H9" s="159">
        <v>8</v>
      </c>
    </row>
    <row r="10" spans="1:13" ht="24.75" customHeight="1">
      <c r="A10" s="164">
        <v>1</v>
      </c>
      <c r="B10" s="629" t="s">
        <v>760</v>
      </c>
      <c r="C10" s="198">
        <v>264</v>
      </c>
      <c r="D10" s="408" t="s">
        <v>593</v>
      </c>
      <c r="E10" s="412"/>
      <c r="F10" s="638">
        <f>SUM(F11:F19)</f>
        <v>240449.62</v>
      </c>
      <c r="G10" s="199">
        <v>12</v>
      </c>
      <c r="H10" s="203">
        <f t="shared" ref="H10:H19" si="0">ROUND(((G10*F10)/1000),1)</f>
        <v>2885.4</v>
      </c>
      <c r="I10" s="366"/>
    </row>
    <row r="11" spans="1:13" ht="15" customHeight="1">
      <c r="A11" s="771" t="s">
        <v>749</v>
      </c>
      <c r="B11" s="437" t="s">
        <v>761</v>
      </c>
      <c r="C11" s="198">
        <v>264</v>
      </c>
      <c r="D11" s="408" t="s">
        <v>593</v>
      </c>
      <c r="E11" s="214">
        <v>30</v>
      </c>
      <c r="F11" s="638">
        <v>36091</v>
      </c>
      <c r="G11" s="154">
        <v>12</v>
      </c>
      <c r="H11" s="203">
        <f t="shared" si="0"/>
        <v>433.1</v>
      </c>
      <c r="I11" s="405"/>
      <c r="J11" s="572"/>
    </row>
    <row r="12" spans="1:13">
      <c r="A12" s="771" t="s">
        <v>750</v>
      </c>
      <c r="B12" s="437" t="s">
        <v>762</v>
      </c>
      <c r="C12" s="198">
        <v>264</v>
      </c>
      <c r="D12" s="408" t="s">
        <v>593</v>
      </c>
      <c r="E12" s="214">
        <v>30</v>
      </c>
      <c r="F12" s="638">
        <v>40293.51</v>
      </c>
      <c r="G12" s="154">
        <v>12</v>
      </c>
      <c r="H12" s="203">
        <f t="shared" si="0"/>
        <v>483.5</v>
      </c>
      <c r="I12" s="405"/>
      <c r="J12" s="572"/>
    </row>
    <row r="13" spans="1:13">
      <c r="A13" s="771" t="s">
        <v>753</v>
      </c>
      <c r="B13" s="437" t="s">
        <v>763</v>
      </c>
      <c r="C13" s="198">
        <v>264</v>
      </c>
      <c r="D13" s="408" t="s">
        <v>593</v>
      </c>
      <c r="E13" s="214">
        <v>45</v>
      </c>
      <c r="F13" s="638">
        <v>22799.8</v>
      </c>
      <c r="G13" s="154">
        <v>12</v>
      </c>
      <c r="H13" s="203">
        <f t="shared" si="0"/>
        <v>273.60000000000002</v>
      </c>
      <c r="I13" s="405"/>
      <c r="J13" s="572"/>
    </row>
    <row r="14" spans="1:13">
      <c r="A14" s="771" t="s">
        <v>754</v>
      </c>
      <c r="B14" s="437" t="s">
        <v>764</v>
      </c>
      <c r="C14" s="198">
        <v>264</v>
      </c>
      <c r="D14" s="408" t="s">
        <v>593</v>
      </c>
      <c r="E14" s="214">
        <v>36</v>
      </c>
      <c r="F14" s="638">
        <v>23452.5</v>
      </c>
      <c r="G14" s="154">
        <v>12</v>
      </c>
      <c r="H14" s="203">
        <f t="shared" si="0"/>
        <v>281.39999999999998</v>
      </c>
      <c r="I14" s="405"/>
      <c r="J14" s="572"/>
    </row>
    <row r="15" spans="1:13">
      <c r="A15" s="771" t="s">
        <v>755</v>
      </c>
      <c r="B15" s="437" t="s">
        <v>765</v>
      </c>
      <c r="C15" s="198">
        <v>264</v>
      </c>
      <c r="D15" s="408" t="s">
        <v>593</v>
      </c>
      <c r="E15" s="214">
        <v>30</v>
      </c>
      <c r="F15" s="638">
        <v>19543.75</v>
      </c>
      <c r="G15" s="154">
        <v>12</v>
      </c>
      <c r="H15" s="203">
        <f t="shared" si="0"/>
        <v>234.5</v>
      </c>
      <c r="I15" s="405"/>
      <c r="J15" s="572"/>
    </row>
    <row r="16" spans="1:13">
      <c r="A16" s="771" t="s">
        <v>756</v>
      </c>
      <c r="B16" s="437" t="s">
        <v>766</v>
      </c>
      <c r="C16" s="198">
        <v>264</v>
      </c>
      <c r="D16" s="408" t="s">
        <v>593</v>
      </c>
      <c r="E16" s="214">
        <v>33</v>
      </c>
      <c r="F16" s="638">
        <v>16719.849999999999</v>
      </c>
      <c r="G16" s="154">
        <v>12</v>
      </c>
      <c r="H16" s="203">
        <f t="shared" si="0"/>
        <v>200.6</v>
      </c>
      <c r="I16" s="405"/>
      <c r="J16" s="572"/>
    </row>
    <row r="17" spans="1:10">
      <c r="A17" s="771" t="s">
        <v>757</v>
      </c>
      <c r="B17" s="437" t="s">
        <v>767</v>
      </c>
      <c r="C17" s="198">
        <v>264</v>
      </c>
      <c r="D17" s="408" t="s">
        <v>593</v>
      </c>
      <c r="E17" s="214">
        <v>60</v>
      </c>
      <c r="F17" s="638">
        <v>26055.83</v>
      </c>
      <c r="G17" s="154">
        <v>12</v>
      </c>
      <c r="H17" s="203">
        <f t="shared" si="0"/>
        <v>312.7</v>
      </c>
      <c r="I17" s="405"/>
      <c r="J17" s="572"/>
    </row>
    <row r="18" spans="1:10">
      <c r="A18" s="771" t="s">
        <v>758</v>
      </c>
      <c r="B18" s="437" t="s">
        <v>768</v>
      </c>
      <c r="C18" s="198">
        <v>264</v>
      </c>
      <c r="D18" s="408" t="s">
        <v>593</v>
      </c>
      <c r="E18" s="214">
        <v>30</v>
      </c>
      <c r="F18" s="638">
        <v>15199.87</v>
      </c>
      <c r="G18" s="154">
        <v>12</v>
      </c>
      <c r="H18" s="203">
        <f t="shared" si="0"/>
        <v>182.4</v>
      </c>
      <c r="I18" s="405"/>
      <c r="J18" s="572"/>
    </row>
    <row r="19" spans="1:10">
      <c r="A19" s="771" t="s">
        <v>802</v>
      </c>
      <c r="B19" s="437" t="s">
        <v>803</v>
      </c>
      <c r="C19" s="198">
        <v>264</v>
      </c>
      <c r="D19" s="408" t="s">
        <v>593</v>
      </c>
      <c r="E19" s="214">
        <v>30</v>
      </c>
      <c r="F19" s="638">
        <v>40293.51</v>
      </c>
      <c r="G19" s="154">
        <v>12</v>
      </c>
      <c r="H19" s="203">
        <f t="shared" si="0"/>
        <v>483.5</v>
      </c>
      <c r="I19" s="405"/>
      <c r="J19" s="572"/>
    </row>
    <row r="20" spans="1:10">
      <c r="A20" s="996" t="s">
        <v>68</v>
      </c>
      <c r="B20" s="997"/>
      <c r="C20" s="997"/>
      <c r="D20" s="997"/>
      <c r="E20" s="997"/>
      <c r="F20" s="997"/>
      <c r="G20" s="1022"/>
      <c r="H20" s="413">
        <f>H10</f>
        <v>2885.4</v>
      </c>
      <c r="J20" s="572"/>
    </row>
    <row r="23" spans="1:10">
      <c r="A23" s="1146" t="s">
        <v>621</v>
      </c>
      <c r="B23" s="1146"/>
      <c r="C23" s="162"/>
      <c r="D23" s="993"/>
      <c r="E23" s="993"/>
      <c r="G23" s="993" t="str">
        <f ca="1">рВДЛ!G29</f>
        <v>М.В. Златова</v>
      </c>
      <c r="H23" s="993"/>
    </row>
    <row r="24" spans="1:10">
      <c r="A24" s="1001" t="s">
        <v>554</v>
      </c>
      <c r="B24" s="1001"/>
      <c r="C24" s="163"/>
      <c r="D24" s="1002" t="s">
        <v>555</v>
      </c>
      <c r="E24" s="1002"/>
      <c r="G24" s="1002" t="s">
        <v>556</v>
      </c>
      <c r="H24" s="1002"/>
    </row>
    <row r="25" spans="1:10">
      <c r="A25" s="1146" t="str">
        <f>[1]расчВДЛ!A25</f>
        <v>Исполнитель: финансист</v>
      </c>
      <c r="B25" s="1146"/>
      <c r="C25" s="162"/>
      <c r="D25" s="993"/>
      <c r="E25" s="993"/>
      <c r="G25" s="993" t="str">
        <f>[1]расчВДЛ!H25</f>
        <v>Е.Н. Рыбалка</v>
      </c>
      <c r="H25" s="993"/>
    </row>
    <row r="26" spans="1:10">
      <c r="A26" s="1001" t="s">
        <v>554</v>
      </c>
      <c r="B26" s="1001"/>
      <c r="C26" s="163"/>
      <c r="D26" s="1002" t="s">
        <v>555</v>
      </c>
      <c r="E26" s="1002"/>
      <c r="G26" s="1002" t="s">
        <v>556</v>
      </c>
      <c r="H26" s="1002"/>
    </row>
  </sheetData>
  <mergeCells count="17">
    <mergeCell ref="A20:G20"/>
    <mergeCell ref="A23:B23"/>
    <mergeCell ref="D23:E23"/>
    <mergeCell ref="G23:H23"/>
    <mergeCell ref="A7:H7"/>
    <mergeCell ref="A1:H1"/>
    <mergeCell ref="A3:H3"/>
    <mergeCell ref="A4:H4"/>
    <mergeCell ref="A26:B26"/>
    <mergeCell ref="D26:E26"/>
    <mergeCell ref="G26:H26"/>
    <mergeCell ref="A24:B24"/>
    <mergeCell ref="D24:E24"/>
    <mergeCell ref="G24:H24"/>
    <mergeCell ref="A25:B25"/>
    <mergeCell ref="D25:E25"/>
    <mergeCell ref="G25:H25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I69"/>
  <sheetViews>
    <sheetView showZeros="0" topLeftCell="A43" workbookViewId="0">
      <selection activeCell="K47" sqref="K47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3" width="9.140625" style="669" customWidth="1"/>
    <col min="254" max="254" width="49.42578125" style="669" customWidth="1"/>
    <col min="255" max="16384" width="3.5703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10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0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0"/>
    </row>
    <row r="4" spans="1:9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0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0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3"/>
    </row>
    <row r="7" spans="1:9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4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</row>
    <row r="12" spans="1:9" s="170" customFormat="1">
      <c r="A12" s="1041" t="s">
        <v>824</v>
      </c>
      <c r="B12" s="1041"/>
      <c r="C12" s="1041"/>
      <c r="D12" s="1041"/>
      <c r="E12" s="1041"/>
      <c r="F12" s="1041"/>
      <c r="G12" s="1041"/>
      <c r="H12" s="1041"/>
      <c r="I12" s="721"/>
    </row>
    <row r="13" spans="1:9" s="170" customFormat="1" ht="6" customHeight="1">
      <c r="E13" s="722"/>
      <c r="F13" s="722"/>
      <c r="G13" s="722"/>
      <c r="H13" s="722"/>
      <c r="I13" s="721"/>
    </row>
    <row r="14" spans="1:9" s="170" customFormat="1" ht="12.75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721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72"/>
    </row>
    <row r="16" spans="1:9">
      <c r="A16" s="512" t="s">
        <v>852</v>
      </c>
      <c r="B16" s="728" t="s">
        <v>417</v>
      </c>
      <c r="C16" s="728" t="s">
        <v>388</v>
      </c>
      <c r="D16" s="529" t="s">
        <v>708</v>
      </c>
      <c r="E16" s="529" t="s">
        <v>570</v>
      </c>
      <c r="F16" s="535" t="s">
        <v>570</v>
      </c>
      <c r="G16" s="511"/>
      <c r="H16" s="528">
        <f>H17+H24+H44+H46+H48+H52</f>
        <v>0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8">
      <c r="A18" s="514" t="s">
        <v>571</v>
      </c>
      <c r="B18" s="728"/>
      <c r="C18" s="728"/>
      <c r="D18" s="728"/>
      <c r="E18" s="729"/>
      <c r="F18" s="507">
        <v>211</v>
      </c>
      <c r="G18" s="507"/>
      <c r="H18" s="730"/>
    </row>
    <row r="19" spans="1:8">
      <c r="A19" s="514" t="s">
        <v>854</v>
      </c>
      <c r="B19" s="728"/>
      <c r="C19" s="728"/>
      <c r="D19" s="728"/>
      <c r="E19" s="731"/>
      <c r="F19" s="507">
        <v>212</v>
      </c>
      <c r="G19" s="507"/>
      <c r="H19" s="730">
        <f>H20</f>
        <v>0</v>
      </c>
    </row>
    <row r="20" spans="1:8">
      <c r="A20" s="515" t="s">
        <v>572</v>
      </c>
      <c r="B20" s="732"/>
      <c r="C20" s="732"/>
      <c r="D20" s="732"/>
      <c r="E20" s="733"/>
      <c r="F20" s="508">
        <v>212</v>
      </c>
      <c r="G20" s="508">
        <v>610</v>
      </c>
      <c r="H20" s="264"/>
    </row>
    <row r="21" spans="1:8">
      <c r="A21" s="514" t="s">
        <v>855</v>
      </c>
      <c r="B21" s="728"/>
      <c r="C21" s="728"/>
      <c r="D21" s="728"/>
      <c r="E21" s="729"/>
      <c r="F21" s="507">
        <v>213</v>
      </c>
      <c r="G21" s="507"/>
      <c r="H21" s="730"/>
    </row>
    <row r="22" spans="1:8" ht="24">
      <c r="A22" s="514" t="s">
        <v>856</v>
      </c>
      <c r="B22" s="728"/>
      <c r="C22" s="728"/>
      <c r="D22" s="728"/>
      <c r="E22" s="731"/>
      <c r="F22" s="507">
        <v>214</v>
      </c>
      <c r="G22" s="507"/>
      <c r="H22" s="730">
        <f>H23</f>
        <v>0</v>
      </c>
    </row>
    <row r="23" spans="1:8">
      <c r="A23" s="515" t="s">
        <v>646</v>
      </c>
      <c r="B23" s="732"/>
      <c r="C23" s="732"/>
      <c r="D23" s="732"/>
      <c r="E23" s="408"/>
      <c r="F23" s="508">
        <v>214</v>
      </c>
      <c r="G23" s="508">
        <v>831</v>
      </c>
      <c r="H23" s="264"/>
    </row>
    <row r="24" spans="1:8">
      <c r="A24" s="513" t="s">
        <v>857</v>
      </c>
      <c r="B24" s="726"/>
      <c r="C24" s="726"/>
      <c r="D24" s="726"/>
      <c r="E24" s="726"/>
      <c r="F24" s="506">
        <v>220</v>
      </c>
      <c r="G24" s="506"/>
      <c r="H24" s="727">
        <f>H25+H26+H28+H32+H36</f>
        <v>0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8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8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8">
      <c r="A32" s="514" t="s">
        <v>859</v>
      </c>
      <c r="B32" s="728"/>
      <c r="C32" s="728"/>
      <c r="D32" s="728"/>
      <c r="E32" s="728"/>
      <c r="F32" s="507">
        <v>225</v>
      </c>
      <c r="G32" s="507"/>
      <c r="H32" s="730">
        <f>SUM(H33:H35)</f>
        <v>0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/>
      <c r="C34" s="732"/>
      <c r="D34" s="732"/>
      <c r="E34" s="732"/>
      <c r="F34" s="508">
        <v>225</v>
      </c>
      <c r="G34" s="508" t="s">
        <v>583</v>
      </c>
      <c r="H34" s="264"/>
      <c r="I34" s="721"/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>SUM(H37:H43)</f>
        <v>0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73"/>
    </row>
    <row r="38" spans="1:9">
      <c r="A38" s="515" t="s">
        <v>586</v>
      </c>
      <c r="B38" s="732"/>
      <c r="C38" s="732"/>
      <c r="D38" s="732"/>
      <c r="E38" s="408"/>
      <c r="F38" s="508">
        <v>226</v>
      </c>
      <c r="G38" s="508" t="s">
        <v>587</v>
      </c>
      <c r="H38" s="264">
        <f ca="1">рНадгроб!H11</f>
        <v>0</v>
      </c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408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3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70" t="s">
        <v>851</v>
      </c>
      <c r="B45" s="529"/>
      <c r="C45" s="529"/>
      <c r="D45" s="529"/>
      <c r="E45" s="529"/>
      <c r="F45" s="511">
        <v>244</v>
      </c>
      <c r="G45" s="511"/>
      <c r="H45" s="528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  <c r="I46" s="721"/>
    </row>
    <row r="47" spans="1:9">
      <c r="A47" s="517" t="s">
        <v>864</v>
      </c>
      <c r="B47" s="529"/>
      <c r="C47" s="529"/>
      <c r="D47" s="529"/>
      <c r="E47" s="529"/>
      <c r="F47" s="511" t="s">
        <v>590</v>
      </c>
      <c r="G47" s="511"/>
      <c r="H47" s="528"/>
    </row>
    <row r="48" spans="1:9">
      <c r="A48" s="513" t="s">
        <v>865</v>
      </c>
      <c r="B48" s="737"/>
      <c r="C48" s="737"/>
      <c r="D48" s="737"/>
      <c r="E48" s="737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529"/>
      <c r="C49" s="529"/>
      <c r="D49" s="529"/>
      <c r="E49" s="529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32"/>
      <c r="C50" s="732"/>
      <c r="D50" s="732"/>
      <c r="E50" s="732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31"/>
      <c r="F51" s="507">
        <v>266</v>
      </c>
      <c r="G51" s="507"/>
      <c r="H51" s="730"/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529"/>
      <c r="C53" s="529"/>
      <c r="D53" s="529"/>
      <c r="E53" s="529"/>
      <c r="F53" s="510">
        <v>291</v>
      </c>
      <c r="G53" s="510"/>
      <c r="H53" s="528"/>
    </row>
    <row r="54" spans="1:8">
      <c r="A54" s="516" t="s">
        <v>605</v>
      </c>
      <c r="B54" s="741"/>
      <c r="C54" s="741"/>
      <c r="D54" s="741"/>
      <c r="E54" s="741"/>
      <c r="F54" s="510">
        <v>292</v>
      </c>
      <c r="G54" s="510"/>
      <c r="H54" s="730"/>
    </row>
    <row r="55" spans="1:8">
      <c r="A55" s="516" t="s">
        <v>606</v>
      </c>
      <c r="B55" s="741"/>
      <c r="C55" s="741"/>
      <c r="D55" s="741"/>
      <c r="E55" s="741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41"/>
      <c r="C57" s="741"/>
      <c r="D57" s="741"/>
      <c r="E57" s="741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529"/>
      <c r="C60" s="529"/>
      <c r="D60" s="529"/>
      <c r="E60" s="529"/>
      <c r="F60" s="511" t="s">
        <v>598</v>
      </c>
      <c r="G60" s="511"/>
      <c r="H60" s="528">
        <f>H61</f>
        <v>0</v>
      </c>
    </row>
    <row r="61" spans="1:8">
      <c r="A61" s="515" t="s">
        <v>599</v>
      </c>
      <c r="B61" s="732"/>
      <c r="C61" s="732"/>
      <c r="D61" s="732"/>
      <c r="E61" s="732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9">
      <c r="A65" s="517" t="s">
        <v>710</v>
      </c>
      <c r="B65" s="728" t="s">
        <v>417</v>
      </c>
      <c r="C65" s="728" t="s">
        <v>388</v>
      </c>
      <c r="D65" s="728"/>
      <c r="E65" s="728"/>
      <c r="F65" s="511"/>
      <c r="G65" s="511"/>
      <c r="H65" s="730">
        <f ca="1">рНадгроб!H9</f>
        <v>0</v>
      </c>
    </row>
    <row r="66" spans="1:9">
      <c r="A66" s="517" t="s">
        <v>710</v>
      </c>
      <c r="B66" s="728" t="s">
        <v>417</v>
      </c>
      <c r="C66" s="728" t="s">
        <v>388</v>
      </c>
      <c r="D66" s="728"/>
      <c r="E66" s="728"/>
      <c r="F66" s="511"/>
      <c r="G66" s="511"/>
      <c r="H66" s="730">
        <f ca="1">рНадгроб!H10</f>
        <v>0</v>
      </c>
    </row>
    <row r="67" spans="1:9">
      <c r="A67" s="519" t="s">
        <v>602</v>
      </c>
      <c r="B67" s="728" t="s">
        <v>417</v>
      </c>
      <c r="C67" s="728" t="s">
        <v>388</v>
      </c>
      <c r="D67" s="728" t="s">
        <v>708</v>
      </c>
      <c r="E67" s="728" t="s">
        <v>570</v>
      </c>
      <c r="F67" s="518"/>
      <c r="G67" s="518"/>
      <c r="H67" s="730">
        <f>H59+H16</f>
        <v>0</v>
      </c>
      <c r="I67" s="574">
        <f>SUM(I16:I64)</f>
        <v>0</v>
      </c>
    </row>
    <row r="68" spans="1:9">
      <c r="A68" s="742"/>
      <c r="B68" s="743"/>
      <c r="C68" s="743"/>
      <c r="D68" s="743"/>
      <c r="E68" s="743"/>
      <c r="F68" s="743"/>
      <c r="G68" s="743"/>
      <c r="H68" s="744"/>
    </row>
    <row r="69" spans="1:9">
      <c r="I69" s="721"/>
    </row>
  </sheetData>
  <mergeCells count="23">
    <mergeCell ref="E11:F11"/>
    <mergeCell ref="G11:H11"/>
    <mergeCell ref="A12:H12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A9:D9"/>
    <mergeCell ref="E9:F9"/>
    <mergeCell ref="G9:H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92D050"/>
  </sheetPr>
  <dimension ref="A1:J17"/>
  <sheetViews>
    <sheetView workbookViewId="0">
      <selection activeCell="L10" sqref="L10"/>
    </sheetView>
  </sheetViews>
  <sheetFormatPr defaultColWidth="8" defaultRowHeight="15"/>
  <cols>
    <col min="1" max="1" width="5.85546875" style="262" customWidth="1"/>
    <col min="2" max="2" width="22.28515625" style="262" customWidth="1"/>
    <col min="3" max="3" width="7.42578125" style="262" customWidth="1"/>
    <col min="4" max="4" width="8" style="262" customWidth="1"/>
    <col min="5" max="5" width="9.140625" style="262" customWidth="1"/>
    <col min="6" max="6" width="12.5703125" style="262" customWidth="1"/>
    <col min="7" max="7" width="9.5703125" style="262" customWidth="1"/>
    <col min="8" max="8" width="11.5703125" style="262" customWidth="1"/>
    <col min="9" max="9" width="9.140625" style="262" customWidth="1"/>
    <col min="10" max="10" width="15.28515625" style="262" customWidth="1"/>
    <col min="11" max="251" width="9.140625" style="262" customWidth="1"/>
    <col min="252" max="252" width="5.85546875" style="262" customWidth="1"/>
    <col min="253" max="253" width="10.5703125" style="262" customWidth="1"/>
    <col min="254" max="254" width="11.140625" style="262" customWidth="1"/>
    <col min="255" max="255" width="7.42578125" style="262" customWidth="1"/>
    <col min="256" max="16384" width="8" style="262"/>
  </cols>
  <sheetData>
    <row r="1" spans="1:10">
      <c r="A1" s="1147" t="s">
        <v>824</v>
      </c>
      <c r="B1" s="1147"/>
      <c r="C1" s="1147"/>
      <c r="D1" s="1147"/>
      <c r="E1" s="1147"/>
      <c r="F1" s="1147"/>
      <c r="G1" s="1147"/>
      <c r="H1" s="1147"/>
    </row>
    <row r="3" spans="1:10" ht="15.75">
      <c r="A3" s="1038" t="s">
        <v>609</v>
      </c>
      <c r="B3" s="1038"/>
      <c r="C3" s="1038"/>
      <c r="D3" s="1038"/>
      <c r="E3" s="1038"/>
      <c r="F3" s="1038"/>
      <c r="G3" s="1038"/>
      <c r="H3" s="1038"/>
    </row>
    <row r="4" spans="1:10" ht="15" customHeight="1">
      <c r="A4" s="1004" t="str">
        <f ca="1">'СВОД смет'!A7:H7</f>
        <v>на 2021 год</v>
      </c>
      <c r="B4" s="1004"/>
      <c r="C4" s="1004"/>
      <c r="D4" s="1004"/>
      <c r="E4" s="1004"/>
      <c r="F4" s="1004"/>
      <c r="G4" s="1004"/>
      <c r="H4" s="1004"/>
    </row>
    <row r="5" spans="1:10" ht="15" customHeight="1"/>
    <row r="6" spans="1:10">
      <c r="A6" s="1148" t="s">
        <v>732</v>
      </c>
      <c r="B6" s="1148"/>
      <c r="C6" s="1148"/>
      <c r="D6" s="1148"/>
      <c r="E6" s="1148"/>
      <c r="F6" s="1148"/>
      <c r="G6" s="1148"/>
      <c r="H6" s="1148"/>
    </row>
    <row r="7" spans="1:10" ht="24" customHeight="1">
      <c r="A7" s="154" t="s">
        <v>483</v>
      </c>
      <c r="B7" s="157" t="s">
        <v>715</v>
      </c>
      <c r="C7" s="154" t="s">
        <v>568</v>
      </c>
      <c r="D7" s="157" t="s">
        <v>614</v>
      </c>
      <c r="E7" s="157" t="s">
        <v>805</v>
      </c>
      <c r="F7" s="157" t="s">
        <v>806</v>
      </c>
      <c r="G7" s="589" t="s">
        <v>759</v>
      </c>
      <c r="H7" s="157" t="s">
        <v>626</v>
      </c>
    </row>
    <row r="8" spans="1:10">
      <c r="A8" s="159">
        <v>1</v>
      </c>
      <c r="B8" s="159">
        <v>2</v>
      </c>
      <c r="C8" s="159">
        <v>3</v>
      </c>
      <c r="D8" s="159">
        <v>4</v>
      </c>
      <c r="E8" s="159">
        <v>5</v>
      </c>
      <c r="F8" s="159">
        <v>6</v>
      </c>
      <c r="G8" s="159">
        <v>7</v>
      </c>
      <c r="H8" s="159">
        <v>8</v>
      </c>
    </row>
    <row r="9" spans="1:10" ht="51" customHeight="1">
      <c r="A9" s="406">
        <v>1</v>
      </c>
      <c r="B9" s="629" t="s">
        <v>881</v>
      </c>
      <c r="C9" s="198">
        <v>226</v>
      </c>
      <c r="D9" s="408" t="s">
        <v>587</v>
      </c>
      <c r="E9" s="199"/>
      <c r="F9" s="646">
        <v>15000</v>
      </c>
      <c r="G9" s="409">
        <f>E9*F9</f>
        <v>0</v>
      </c>
      <c r="H9" s="410">
        <f>ROUND(G9/1000,1)</f>
        <v>0</v>
      </c>
      <c r="J9" s="480"/>
    </row>
    <row r="10" spans="1:10" ht="37.5" customHeight="1">
      <c r="A10" s="406">
        <v>2</v>
      </c>
      <c r="B10" s="629" t="s">
        <v>910</v>
      </c>
      <c r="C10" s="198">
        <v>226</v>
      </c>
      <c r="D10" s="408" t="s">
        <v>587</v>
      </c>
      <c r="E10" s="199"/>
      <c r="F10" s="646">
        <v>35000</v>
      </c>
      <c r="G10" s="409">
        <f>E10*F10</f>
        <v>0</v>
      </c>
      <c r="H10" s="410">
        <f>ROUND(G10/1000,1)</f>
        <v>0</v>
      </c>
      <c r="J10" s="531"/>
    </row>
    <row r="11" spans="1:10">
      <c r="A11" s="996" t="s">
        <v>633</v>
      </c>
      <c r="B11" s="997"/>
      <c r="C11" s="997"/>
      <c r="D11" s="997"/>
      <c r="E11" s="997"/>
      <c r="F11" s="997"/>
      <c r="G11" s="684">
        <f>SUM(G10:G10)</f>
        <v>0</v>
      </c>
      <c r="H11" s="411">
        <f>SUM(H9:H10)</f>
        <v>0</v>
      </c>
    </row>
    <row r="12" spans="1:10">
      <c r="A12" s="170"/>
      <c r="B12" s="170"/>
      <c r="C12" s="170"/>
      <c r="D12" s="170"/>
      <c r="E12" s="170"/>
      <c r="F12" s="170"/>
      <c r="G12" s="170"/>
      <c r="H12" s="170"/>
    </row>
    <row r="14" spans="1:10">
      <c r="A14" s="1146" t="s">
        <v>621</v>
      </c>
      <c r="B14" s="1146"/>
      <c r="C14" s="162"/>
      <c r="D14" s="993"/>
      <c r="E14" s="993"/>
      <c r="G14" s="993" t="str">
        <f ca="1">рВДЛ!G29</f>
        <v>М.В. Златова</v>
      </c>
      <c r="H14" s="993"/>
    </row>
    <row r="15" spans="1:10">
      <c r="A15" s="1001" t="s">
        <v>554</v>
      </c>
      <c r="B15" s="1001"/>
      <c r="C15" s="163"/>
      <c r="D15" s="1002" t="s">
        <v>555</v>
      </c>
      <c r="E15" s="1002"/>
      <c r="G15" s="1002" t="s">
        <v>556</v>
      </c>
      <c r="H15" s="1002"/>
    </row>
    <row r="16" spans="1:10">
      <c r="A16" s="1146" t="str">
        <f>[1]расчВДЛ!A25</f>
        <v>Исполнитель: финансист</v>
      </c>
      <c r="B16" s="1146"/>
      <c r="C16" s="162"/>
      <c r="D16" s="993"/>
      <c r="E16" s="993"/>
      <c r="G16" s="993" t="str">
        <f>[1]расчВДЛ!H25</f>
        <v>Е.Н. Рыбалка</v>
      </c>
      <c r="H16" s="993"/>
    </row>
    <row r="17" spans="1:8">
      <c r="A17" s="1001" t="s">
        <v>554</v>
      </c>
      <c r="B17" s="1001"/>
      <c r="C17" s="163"/>
      <c r="D17" s="1002" t="s">
        <v>555</v>
      </c>
      <c r="E17" s="1002"/>
      <c r="G17" s="1002" t="s">
        <v>556</v>
      </c>
      <c r="H17" s="1002"/>
    </row>
  </sheetData>
  <mergeCells count="17">
    <mergeCell ref="A17:B17"/>
    <mergeCell ref="D17:E17"/>
    <mergeCell ref="G17:H17"/>
    <mergeCell ref="A15:B15"/>
    <mergeCell ref="D15:E15"/>
    <mergeCell ref="G15:H15"/>
    <mergeCell ref="A16:B16"/>
    <mergeCell ref="D16:E16"/>
    <mergeCell ref="G16:H16"/>
    <mergeCell ref="A14:B14"/>
    <mergeCell ref="D14:E14"/>
    <mergeCell ref="G14:H14"/>
    <mergeCell ref="A11:F11"/>
    <mergeCell ref="A1:H1"/>
    <mergeCell ref="A3:H3"/>
    <mergeCell ref="A4:H4"/>
    <mergeCell ref="A6:H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I68"/>
  <sheetViews>
    <sheetView showZeros="0" topLeftCell="A42" workbookViewId="0">
      <selection activeCell="H68" sqref="H68"/>
    </sheetView>
  </sheetViews>
  <sheetFormatPr defaultColWidth="11.42578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2" width="9.140625" style="669" customWidth="1"/>
    <col min="253" max="253" width="49.42578125" style="669" customWidth="1"/>
    <col min="254" max="255" width="3.5703125" style="669" customWidth="1"/>
    <col min="256" max="16384" width="11.42578125" style="669"/>
  </cols>
  <sheetData>
    <row r="1" spans="1:9" s="709" customFormat="1" ht="17.25" customHeight="1">
      <c r="A1" s="708"/>
      <c r="D1" s="968" t="s">
        <v>552</v>
      </c>
      <c r="E1" s="968"/>
      <c r="F1" s="968"/>
      <c r="G1" s="968"/>
      <c r="H1" s="968"/>
      <c r="I1" s="717"/>
    </row>
    <row r="2" spans="1:9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7"/>
    </row>
    <row r="3" spans="1:9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7"/>
    </row>
    <row r="4" spans="1:9" s="709" customFormat="1" ht="17.25" customHeight="1">
      <c r="D4" s="971"/>
      <c r="E4" s="971"/>
      <c r="F4" s="971" t="s">
        <v>82</v>
      </c>
      <c r="G4" s="971"/>
      <c r="H4" s="971"/>
      <c r="I4" s="717"/>
    </row>
    <row r="5" spans="1:9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7"/>
    </row>
    <row r="6" spans="1:9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7"/>
    </row>
    <row r="7" spans="1:9" s="709" customFormat="1" ht="15" customHeight="1">
      <c r="A7" s="976" t="s">
        <v>124</v>
      </c>
      <c r="B7" s="976"/>
      <c r="C7" s="976"/>
      <c r="D7" s="976"/>
      <c r="E7" s="976"/>
      <c r="F7" s="976"/>
      <c r="G7" s="976"/>
      <c r="H7" s="976"/>
      <c r="I7" s="717"/>
    </row>
    <row r="8" spans="1:9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7"/>
    </row>
    <row r="9" spans="1:9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</row>
    <row r="10" spans="1:9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</row>
    <row r="11" spans="1:9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17"/>
    </row>
    <row r="12" spans="1:9" s="170" customFormat="1">
      <c r="A12" s="783" t="s">
        <v>608</v>
      </c>
      <c r="I12" s="574"/>
    </row>
    <row r="13" spans="1:9" s="170" customFormat="1" ht="6" customHeight="1">
      <c r="E13" s="722"/>
      <c r="F13" s="722"/>
      <c r="G13" s="722"/>
      <c r="H13" s="722"/>
      <c r="I13" s="574"/>
    </row>
    <row r="14" spans="1:9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574"/>
    </row>
    <row r="15" spans="1:9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</row>
    <row r="16" spans="1:9">
      <c r="A16" s="512" t="s">
        <v>852</v>
      </c>
      <c r="B16" s="168"/>
      <c r="C16" s="168"/>
      <c r="D16" s="168"/>
      <c r="E16" s="168"/>
      <c r="F16" s="505" t="s">
        <v>375</v>
      </c>
      <c r="G16" s="505"/>
      <c r="H16" s="524">
        <f ca="1">H17+H24+H44+H46+H48+H52+сРезерв!H16</f>
        <v>34011.199999999997</v>
      </c>
    </row>
    <row r="17" spans="1:8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 ca="1">H18+H19+H21+H22</f>
        <v>12014.7</v>
      </c>
    </row>
    <row r="18" spans="1:8">
      <c r="A18" s="514" t="s">
        <v>571</v>
      </c>
      <c r="B18" s="728"/>
      <c r="C18" s="728"/>
      <c r="D18" s="728"/>
      <c r="E18" s="734"/>
      <c r="F18" s="507">
        <v>211</v>
      </c>
      <c r="G18" s="507"/>
      <c r="H18" s="730">
        <f ca="1">сВДЛ!H18+сДеп!H18+сКомУсл!H18+сЗП!H18+сАУП!H18+сКСП!H18+сВыборы!H18+сРезерв!H18+сДругие!H18+сПВУ!H18+сГОиЧС_1!H18+сГОиЧС_2!H18+сГОиЧС_3!H18+сДороги!H18+сНацЭкон!H18+сЖилфонд!H18+сКомХоз!H18+сБлагоуст!H18+сРитуал!H18+сПенс!H18+сНадгроб!H18</f>
        <v>9128.4</v>
      </c>
    </row>
    <row r="19" spans="1:8">
      <c r="A19" s="514" t="s">
        <v>854</v>
      </c>
      <c r="B19" s="728"/>
      <c r="C19" s="728"/>
      <c r="D19" s="728"/>
      <c r="E19" s="728"/>
      <c r="F19" s="507">
        <v>212</v>
      </c>
      <c r="G19" s="507"/>
      <c r="H19" s="730">
        <f ca="1">H20</f>
        <v>21.6</v>
      </c>
    </row>
    <row r="20" spans="1:8">
      <c r="A20" s="515" t="s">
        <v>572</v>
      </c>
      <c r="B20" s="732"/>
      <c r="C20" s="732"/>
      <c r="D20" s="732"/>
      <c r="E20" s="732"/>
      <c r="F20" s="508">
        <v>212</v>
      </c>
      <c r="G20" s="508">
        <v>610</v>
      </c>
      <c r="H20" s="264">
        <f ca="1">сВДЛ!H20+сДеп!H20+сКомУсл!H20+сЗП!H20+сАУП!H20+сКСП!H20+сВыборы!H20+сРезерв!H20+сДругие!H20+сПВУ!H20+сГОиЧС_1!H20+сГОиЧС_2!H20+сГОиЧС_3!H20+сДороги!H20+сНацЭкон!H20+сЖилфонд!H20+сКомХоз!H20+сБлагоуст!H20+сРитуал!H20+сПенс!H20+сНадгроб!H20</f>
        <v>21.6</v>
      </c>
    </row>
    <row r="21" spans="1:8">
      <c r="A21" s="514" t="s">
        <v>855</v>
      </c>
      <c r="B21" s="728"/>
      <c r="C21" s="728"/>
      <c r="D21" s="728"/>
      <c r="E21" s="728"/>
      <c r="F21" s="507">
        <v>213</v>
      </c>
      <c r="G21" s="507"/>
      <c r="H21" s="730">
        <f ca="1">сВДЛ!H21+сДеп!H21+сКомУсл!H21+сЗП!H21+сАУП!H21+сКСП!H21+сВыборы!H21+сРезерв!H21+сДругие!H21+сПВУ!H21+сГОиЧС_1!H21+сГОиЧС_2!H21+сГОиЧС_3!H21+сДороги!H21+сНацЭкон!H21+сЖилфонд!H21+сКомХоз!H21+сБлагоуст!H21+сРитуал!H21+сПенс!H21+сНадгроб!H21</f>
        <v>2588.6999999999998</v>
      </c>
    </row>
    <row r="22" spans="1:8" ht="24">
      <c r="A22" s="514" t="s">
        <v>856</v>
      </c>
      <c r="B22" s="728"/>
      <c r="C22" s="728"/>
      <c r="D22" s="728"/>
      <c r="E22" s="728"/>
      <c r="F22" s="507">
        <v>214</v>
      </c>
      <c r="G22" s="507"/>
      <c r="H22" s="730">
        <f ca="1">H23</f>
        <v>276</v>
      </c>
    </row>
    <row r="23" spans="1:8">
      <c r="A23" s="515" t="s">
        <v>646</v>
      </c>
      <c r="B23" s="732"/>
      <c r="C23" s="732"/>
      <c r="D23" s="732"/>
      <c r="E23" s="732"/>
      <c r="F23" s="508">
        <v>214</v>
      </c>
      <c r="G23" s="508">
        <v>831</v>
      </c>
      <c r="H23" s="264">
        <f ca="1">сВДЛ!H23+сДеп!H23+сКомУсл!H23+сЗП!H23+сАУП!H23+сКСП!H23+сВыборы!H23+сРезерв!H23+сДругие!H23+сПВУ!H23+сГОиЧС_1!H23+сГОиЧС_2!H23+сГОиЧС_3!H23+сДороги!H23+сНацЭкон!H23+сЖилфонд!H23+сКомХоз!H23+сБлагоуст!H23+сРитуал!H23+сПенс!H23+сНадгроб!H23</f>
        <v>276</v>
      </c>
    </row>
    <row r="24" spans="1:8">
      <c r="A24" s="513" t="s">
        <v>857</v>
      </c>
      <c r="B24" s="726"/>
      <c r="C24" s="726"/>
      <c r="D24" s="726"/>
      <c r="E24" s="726"/>
      <c r="F24" s="506">
        <v>220</v>
      </c>
      <c r="G24" s="506"/>
      <c r="H24" s="727">
        <f ca="1">H25+H26+H28+H32+H36</f>
        <v>17759.199999999997</v>
      </c>
    </row>
    <row r="25" spans="1:8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>
        <f ca="1">сВДЛ!H25+сДеп!H25+сКомУсл!H25+сЗП!H25+сАУП!H25+сКСП!H25+сВыборы!H25+сРезерв!H25+сДругие!H25+сПВУ!H25+сГОиЧС_1!H25+сГОиЧС_2!H25+сГОиЧС_3!H25+сДороги!H25+сНацЭкон!H25+сЖилфонд!H25+сКомХоз!H25+сБлагоуст!H25+сРитуал!H25+сПенс!H25+сНадгроб!H25</f>
        <v>413.5</v>
      </c>
    </row>
    <row r="26" spans="1:8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 ca="1">H27</f>
        <v>10</v>
      </c>
    </row>
    <row r="27" spans="1:8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>
        <f ca="1">сВДЛ!H27+сДеп!H27+сКомУсл!H27+сЗП!H27+сАУП!H27+сКСП!H27+сВыборы!H27+сРезерв!H27+сДругие!H27+сПВУ!H27+сГОиЧС_1!H27+сГОиЧС_2!H27+сГОиЧС_3!H27+сДороги!H27+сНацЭкон!H27+сЖилфонд!H27+сКомХоз!H27+сБлагоуст!H27+сРитуал!H27+сПенс!H27+сНадгроб!H27</f>
        <v>10</v>
      </c>
    </row>
    <row r="28" spans="1:8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 ca="1">SUM(H29:H31)</f>
        <v>3932.1</v>
      </c>
    </row>
    <row r="29" spans="1:8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>
        <f ca="1">сВДЛ!H29+сДеп!H29+сКомУсл!H29+сЗП!H29+сАУП!H29+сКСП!H29+сВыборы!H29+сРезерв!H29+сДругие!H29+сПВУ!H29+сГОиЧС_1!H29+сГОиЧС_2!H29+сГОиЧС_3!H29+сДороги!H29+сНацЭкон!H29+сЖилфонд!H29+сКомХоз!H29+сБлагоуст!H29+сРитуал!H29+сПенс!H29+сНадгроб!H29</f>
        <v>2908.2999999999997</v>
      </c>
    </row>
    <row r="30" spans="1:8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>
        <f ca="1">сВДЛ!H30+сДеп!H30+сКомУсл!H30+сЗП!H30+сАУП!H30+сКСП!H30+сВыборы!H30+сРезерв!H30+сДругие!H30+сПВУ!H30+сГОиЧС_1!H30+сГОиЧС_2!H30+сГОиЧС_3!H30+сДороги!H30+сНацЭкон!H30+сЖилфонд!H30+сКомХоз!H30+сБлагоуст!H30+сРитуал!H30+сПенс!H30+сНадгроб!H30</f>
        <v>969.2</v>
      </c>
    </row>
    <row r="31" spans="1:8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>
        <f ca="1">сВДЛ!H31+сДеп!H31+сКомУсл!H31+сЗП!H31+сАУП!H31+сКСП!H31+сВыборы!H31+сРезерв!H31+сДругие!H31+сПВУ!H31+сГОиЧС_1!H31+сГОиЧС_2!H31+сГОиЧС_3!H31+сДороги!H31+сНацЭкон!H31+сЖилфонд!H31+сКомХоз!H31+сБлагоуст!H31+сРитуал!H31+сПенс!H31+сНадгроб!H31</f>
        <v>54.6</v>
      </c>
    </row>
    <row r="32" spans="1:8">
      <c r="A32" s="514" t="s">
        <v>859</v>
      </c>
      <c r="B32" s="728"/>
      <c r="C32" s="728"/>
      <c r="D32" s="728"/>
      <c r="E32" s="728"/>
      <c r="F32" s="507">
        <v>225</v>
      </c>
      <c r="G32" s="507"/>
      <c r="H32" s="730">
        <f ca="1">SUM(H33:H35)</f>
        <v>11744.899999999998</v>
      </c>
    </row>
    <row r="33" spans="1:8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>
        <f ca="1">сВДЛ!H33+сДеп!H33+сКомУсл!H34+сЗП!H33+сАУП!H33+сКСП!H33+сВыборы!H33+сРезерв!H33+сДругие!H33+сПВУ!H33+сГОиЧС_1!H33+сГОиЧС_2!H33+сГОиЧС_3!H33+сДороги!H33+сНацЭкон!H33+сЖилфонд!H33+сКомХоз!H33+сБлагоуст!H33+сРитуал!H33+сПенс!H33+сНадгроб!H33</f>
        <v>37.799999999999997</v>
      </c>
    </row>
    <row r="34" spans="1:8" ht="24">
      <c r="A34" s="515" t="s">
        <v>860</v>
      </c>
      <c r="B34" s="732"/>
      <c r="C34" s="732"/>
      <c r="D34" s="732"/>
      <c r="E34" s="732"/>
      <c r="F34" s="508">
        <v>225</v>
      </c>
      <c r="G34" s="508" t="s">
        <v>583</v>
      </c>
      <c r="H34" s="264">
        <f ca="1">сВДЛ!H34+сДеп!H34+сКомУсл!H35+сЗП!H34+сАУП!H34+сКСП!H34+сВыборы!H34+сРезерв!H34+сДругие!H34+сПВУ!H34+сГОиЧС_1!H34+сГОиЧС_2!H34+сГОиЧС_3!H34+сДороги!H34+сНацЭкон!H34+сЖилфонд!H34+сКомХоз!H34+сБлагоуст!H34+сРитуал!H34+сПенс!H34+сНадгроб!H34</f>
        <v>11707.099999999999</v>
      </c>
    </row>
    <row r="35" spans="1:8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>
        <f ca="1">сВДЛ!H35+сДеп!H35+сКомУсл!H36+сЗП!H35+сАУП!H35+сКСП!H35+сВыборы!H35+сРезерв!H35+сДругие!H35+сПВУ!H35+сГОиЧС_1!H35+сГОиЧС_2!H35+сГОиЧС_3!H35+сДороги!H35+сНацЭкон!H35+сЖилфонд!H35+сКомХоз!H35+сБлагоуст!H35+сРитуал!H35+сПенс!H35+сНадгроб!H35</f>
        <v>0</v>
      </c>
    </row>
    <row r="36" spans="1:8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 ca="1">SUM(H37:H43)</f>
        <v>1658.7</v>
      </c>
    </row>
    <row r="37" spans="1:8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>
        <f ca="1">сВДЛ!H37+сДеп!H37+сКомУсл!H38+сЗП!H37+сАУП!H37+сКСП!H37+сВыборы!H37+сРезерв!H37+сДругие!H37+сПВУ!H37+сГОиЧС_1!H37+сГОиЧС_2!H37+сГОиЧС_3!H37+сДороги!H37+сНацЭкон!H37+сЖилфонд!H37+сКомХоз!H37+сБлагоуст!H37+сРитуал!H37+сПенс!H37+сНадгроб!H37</f>
        <v>20.100000000000001</v>
      </c>
    </row>
    <row r="38" spans="1:8">
      <c r="A38" s="515" t="s">
        <v>586</v>
      </c>
      <c r="B38" s="732"/>
      <c r="C38" s="732"/>
      <c r="D38" s="732"/>
      <c r="E38" s="732"/>
      <c r="F38" s="508">
        <v>226</v>
      </c>
      <c r="G38" s="508" t="s">
        <v>587</v>
      </c>
      <c r="H38" s="264">
        <f ca="1">сВДЛ!H38+сДеп!H38+сКомУсл!H39+сЗП!H38+сАУП!H38+сКСП!H38+сВыборы!H38+сРезерв!H38+сДругие!H38+сПВУ!H38+сГОиЧС_1!H38+сГОиЧС_2!H38+сГОиЧС_3!H38+сДороги!H38+сНацЭкон!H38+сЖилфонд!H38+сКомХоз!H38+сБлагоуст!H38+сРитуал!H38+сПенс!H38+сНадгроб!H38</f>
        <v>1316.9</v>
      </c>
    </row>
    <row r="39" spans="1:8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>
        <f ca="1">сВДЛ!H39+сДеп!H39+сКомУсл!H40+сЗП!H39+сАУП!H39+сКСП!H39+сВыборы!H39+сРезерв!H39+сДругие!H39+сПВУ!H39+сГОиЧС_1!H39+сГОиЧС_2!H39+сГОиЧС_3!H39+сДороги!H39+сНацЭкон!H39+сЖилфонд!H39+сКомХоз!H39+сБлагоуст!H39+сРитуал!H39+сПенс!H39+сНадгроб!H39</f>
        <v>22</v>
      </c>
    </row>
    <row r="40" spans="1:8">
      <c r="A40" s="515" t="s">
        <v>573</v>
      </c>
      <c r="B40" s="732"/>
      <c r="C40" s="732"/>
      <c r="D40" s="732"/>
      <c r="E40" s="732"/>
      <c r="F40" s="508">
        <v>226</v>
      </c>
      <c r="G40" s="508">
        <v>620</v>
      </c>
      <c r="H40" s="264">
        <f ca="1">сВДЛ!H40+сДеп!H40+сКомУсл!H41+сЗП!H40+сАУП!H40+сКСП!H40+сВыборы!H40+сРезерв!H40+сДругие!H40+сПВУ!H40+сГОиЧС_1!H40+сГОиЧС_2!H40+сГОиЧС_3!H40+сДороги!H40+сНацЭкон!H40+сЖилфонд!H40+сКомХоз!H40+сБлагоуст!H40+сРитуал!H40+сПенс!H40+сНадгроб!H40</f>
        <v>99.9</v>
      </c>
    </row>
    <row r="41" spans="1:8">
      <c r="A41" s="515" t="s">
        <v>574</v>
      </c>
      <c r="B41" s="732"/>
      <c r="C41" s="732"/>
      <c r="D41" s="732"/>
      <c r="E41" s="732"/>
      <c r="F41" s="508">
        <v>226</v>
      </c>
      <c r="G41" s="508">
        <v>630</v>
      </c>
      <c r="H41" s="264">
        <f ca="1">сВДЛ!H41+сДеп!H41+сКомУсл!H42+сЗП!H41+сАУП!H41+сКСП!H41+сВыборы!H41+сРезерв!H41+сДругие!H41+сПВУ!H41+сГОиЧС_1!H41+сГОиЧС_2!H41+сГОиЧС_3!H41+сДороги!H41+сНацЭкон!H41+сЖилфонд!H41+сКомХоз!H41+сБлагоуст!H41+сРитуал!H41+сПенс!H41+сНадгроб!H41</f>
        <v>183.8</v>
      </c>
    </row>
    <row r="42" spans="1:8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>
        <f ca="1">сВДЛ!H42+сДеп!H42+сКомУсл!H43+сЗП!H42+сАУП!H42+сКСП!H42+сВыборы!H42+сРезерв!H42+сДругие!H42+сПВУ!H42+сГОиЧС_1!H42+сГОиЧС_2!H42+сГОиЧС_3!H42+сДороги!H42+сНацЭкон!H42+сЖилфонд!H42+сКомХоз!H42+сБлагоуст!H42+сРитуал!H42+сПенс!H42+сНадгроб!H42</f>
        <v>10</v>
      </c>
    </row>
    <row r="43" spans="1:8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>
        <f ca="1">сВДЛ!H43+сДеп!H43+сКомУсл!H44+сЗП!H43+сАУП!H43+сКСП!H43+сВыборы!H43+сРезерв!H43+сДругие!H43+сПВУ!H43+сГОиЧС_1!H43+сГОиЧС_2!H43+сГОиЧС_3!H43+сДороги!H43+сНацЭкон!H43+сЖилфонд!H43+сКомХоз!H43+сБлагоуст!H43+сРитуал!H43+сПенс!H43+сНадгроб!H43</f>
        <v>6</v>
      </c>
    </row>
    <row r="44" spans="1:8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 ca="1">H45</f>
        <v>92.5</v>
      </c>
    </row>
    <row r="45" spans="1:8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>
        <f ca="1">сВДЛ!H45+сДеп!H45+сКомУсл!H46+сЗП!H45+сАУП!H45+сКСП!H45+сВыборы!H45+сРезерв!H45+сДругие!H45+сПВУ!H45+сГОиЧС_1!H45+сГОиЧС_2!H45+сГОиЧС_3!H45+сДороги!H45+сНацЭкон!H45+сЖилфонд!H45+сКомХоз!H45+сБлагоуст!H45+сРитуал!H45+сПенс!H45+сНадгроб!H45</f>
        <v>92.5</v>
      </c>
    </row>
    <row r="46" spans="1:8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 ca="1">H47</f>
        <v>483.4</v>
      </c>
    </row>
    <row r="47" spans="1:8">
      <c r="A47" s="514" t="s">
        <v>864</v>
      </c>
      <c r="B47" s="734"/>
      <c r="C47" s="734"/>
      <c r="D47" s="734"/>
      <c r="E47" s="734"/>
      <c r="F47" s="507">
        <v>251</v>
      </c>
      <c r="G47" s="507"/>
      <c r="H47" s="528">
        <f ca="1">сВДЛ!H47+сДеп!H47+сКомУсл!H48+сЗП!H47+сАУП!H47+сКСП!H47+сВыборы!H47+сРезерв!H47+сДругие!H47+сПВУ!H47+сГОиЧС_1!H47+сДороги!H47+сНацЭкон!H47+сЖилфонд!H47+сКомХоз!H47+сБлагоуст!H47+сРитуал!H47+сПенс!H47+сНадгроб!H47</f>
        <v>483.4</v>
      </c>
    </row>
    <row r="48" spans="1:8">
      <c r="A48" s="513" t="s">
        <v>865</v>
      </c>
      <c r="B48" s="737"/>
      <c r="C48" s="737"/>
      <c r="D48" s="737"/>
      <c r="E48" s="737"/>
      <c r="F48" s="506" t="s">
        <v>591</v>
      </c>
      <c r="G48" s="506"/>
      <c r="H48" s="738">
        <f ca="1">H49+H51</f>
        <v>2966.4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 ca="1">H50</f>
        <v>2885.4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>
        <f ca="1">сВДЛ!H50+сДеп!H50+сКомУсл!H51+сЗП!H50+сАУП!H50+сКСП!H50+сВыборы!H50+сРезерв!H50+сДругие!H50+сПВУ!H50+сГОиЧС_1!H50+сГОиЧС_2!H50+сГОиЧС_3!H50+сДороги!H50+сНацЭкон!H50+сЖилфонд!H50+сКомХоз!H50+сБлагоуст!H50+сРитуал!H50+сПенс!H50+сНадгроб!H50</f>
        <v>2885.4</v>
      </c>
    </row>
    <row r="51" spans="1:8" ht="24">
      <c r="A51" s="514" t="s">
        <v>607</v>
      </c>
      <c r="B51" s="728"/>
      <c r="C51" s="728"/>
      <c r="D51" s="728"/>
      <c r="E51" s="728"/>
      <c r="F51" s="507">
        <v>266</v>
      </c>
      <c r="G51" s="507"/>
      <c r="H51" s="730">
        <f ca="1">сВДЛ!H51+сДеп!H51+сКомУсл!H52+сЗП!H51+сАУП!H51+сКСП!H51+сВыборы!H51+сРезерв!H51+сДругие!H51+сПВУ!H51+сГОиЧС_1!H51+сДороги!H51+сНацЭкон!H51+сЖилфонд!H51+сКомХоз!H51+сБлагоуст!H51+сРитуал!H51+сПенс!H51+сНадгроб!H51</f>
        <v>81</v>
      </c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 ca="1">SUM(H53:H58)</f>
        <v>685</v>
      </c>
    </row>
    <row r="53" spans="1:8">
      <c r="A53" s="516" t="s">
        <v>604</v>
      </c>
      <c r="B53" s="734"/>
      <c r="C53" s="734"/>
      <c r="D53" s="734"/>
      <c r="E53" s="734"/>
      <c r="F53" s="510">
        <v>291</v>
      </c>
      <c r="G53" s="510"/>
      <c r="H53" s="528">
        <f ca="1">сВДЛ!H53+сДеп!H53+сКомУсл!H54+сЗП!H53+сАУП!H53+сКСП!H53+сВыборы!H53+сРезерв!H53+сДругие!H53+сПВУ!H53+сГОиЧС_1!H53+сГОиЧС_2!H53+сГОиЧС_3!H53+сДороги!H53+сНацЭкон!H53+сЖилфонд!H53+сКомХоз!H53+сБлагоуст!H53+сРитуал!H53+сПенс!H53+сНадгроб!H53</f>
        <v>165</v>
      </c>
    </row>
    <row r="54" spans="1:8">
      <c r="A54" s="516" t="s">
        <v>605</v>
      </c>
      <c r="B54" s="728"/>
      <c r="C54" s="728"/>
      <c r="D54" s="728"/>
      <c r="E54" s="728"/>
      <c r="F54" s="510">
        <v>292</v>
      </c>
      <c r="G54" s="510"/>
      <c r="H54" s="730">
        <f ca="1">сВДЛ!H54+сДеп!H54+сКомУсл!H55+сЗП!H54+сАУП!H54+сКСП!H54+сВыборы!H54+сРезерв!H54+сДругие!H54+сПВУ!H54+сГОиЧС_1!H54+сГОиЧС_2!H54+сГОиЧС_3!H54+сДороги!H54+сНацЭкон!H54+сЖилфонд!H54+сКомХоз!H54+сБлагоуст!H54+сРитуал!H54+сПенс!H54+сНадгроб!H54</f>
        <v>0</v>
      </c>
    </row>
    <row r="55" spans="1:8">
      <c r="A55" s="516" t="s">
        <v>606</v>
      </c>
      <c r="B55" s="728"/>
      <c r="C55" s="728"/>
      <c r="D55" s="728"/>
      <c r="E55" s="728"/>
      <c r="F55" s="510">
        <v>293</v>
      </c>
      <c r="G55" s="510"/>
      <c r="H55" s="730">
        <f ca="1">сВДЛ!H55+сДеп!H55+сКомУсл!H56+сЗП!H55+сАУП!H55+сКСП!H55+сВыборы!H55+сРезерв!H55+сДругие!H55+сПВУ!H55+сГОиЧС_1!H55+сГОиЧС_2!H55+сГОиЧС_3!H55+сДороги!H55+сНацЭкон!H55+сЖилфонд!H55+сКомХоз!H55+сБлагоуст!H55+сРитуал!H55+сПенс!H55+сНадгроб!H55</f>
        <v>0</v>
      </c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>
        <f ca="1">сВДЛ!H56+сДеп!H56+сКомУсл!H57+сЗП!H56+сАУП!H56+сКСП!H56+сВыборы!H56+сРезерв!H56+сДругие!H56+сПВУ!H56+сГОиЧС_1!H56+сГОиЧС_2!H56+сГОиЧС_3!H56+сДороги!H56+сНацЭкон!H56+сЖилфонд!H56+сКомХоз!H56+сБлагоуст!H56+сРитуал!H56+сПенс!H56+сНадгроб!H56</f>
        <v>0</v>
      </c>
    </row>
    <row r="57" spans="1:8">
      <c r="A57" s="516" t="s">
        <v>867</v>
      </c>
      <c r="B57" s="728"/>
      <c r="C57" s="728"/>
      <c r="D57" s="728"/>
      <c r="E57" s="728"/>
      <c r="F57" s="510">
        <v>296</v>
      </c>
      <c r="G57" s="510"/>
      <c r="H57" s="730">
        <f ca="1">сВДЛ!H57+сДеп!H57+сКомУсл!H58+сЗП!H57+сАУП!H57+сКСП!H57+сВыборы!H57+сРезерв!H57+сДругие!H57+сПВУ!H57+сГОиЧС_1!H57+сГОиЧС_2!H57+сГОиЧС_3!H57+сДороги!H57+сНацЭкон!H57+сЖилфонд!H57+сКомХоз!H57+сБлагоуст!H57+сРитуал!H57+сПенс!H57+сНадгроб!H57</f>
        <v>0</v>
      </c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>
        <f ca="1">сВДЛ!H58+сДеп!H58+сКомУсл!H59+сЗП!H58+сАУП!H58+сКСП!H58+сВыборы!H58+сРезерв!H58+сДругие!H58+сПВУ!H58+сГОиЧС_1!H58+сГОиЧС_2!H58+сГОиЧС_3!H58+сДороги!H58+сНацЭкон!H58+сЖилфонд!H58+сКомХоз!H58+сБлагоуст!H58+сРитуал!H58+сПенс!H58+сНадгроб!H58</f>
        <v>520</v>
      </c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 ca="1">H60+H62+H63+H64</f>
        <v>229.6</v>
      </c>
    </row>
    <row r="60" spans="1:8">
      <c r="A60" s="514" t="s">
        <v>597</v>
      </c>
      <c r="B60" s="734"/>
      <c r="C60" s="734"/>
      <c r="D60" s="734"/>
      <c r="E60" s="734"/>
      <c r="F60" s="507" t="s">
        <v>598</v>
      </c>
      <c r="G60" s="507"/>
      <c r="H60" s="528">
        <f ca="1">H61</f>
        <v>152.4</v>
      </c>
    </row>
    <row r="61" spans="1:8">
      <c r="A61" s="515" t="s">
        <v>599</v>
      </c>
      <c r="B61" s="728"/>
      <c r="C61" s="728"/>
      <c r="D61" s="728"/>
      <c r="E61" s="728"/>
      <c r="F61" s="508">
        <v>310</v>
      </c>
      <c r="G61" s="508" t="s">
        <v>600</v>
      </c>
      <c r="H61" s="264">
        <f ca="1">сВДЛ!H61+сДеп!H61+сКомУсл!H62+сЗП!H61+сАУП!H61+сКСП!H61+сВыборы!H61+сРезерв!H61+сДругие!H61+сПВУ!H61+сГОиЧС_1!H61+сГОиЧС_2!H61+сГОиЧС_3!H61+сДороги!H61+сНацЭкон!H61+сЖилфонд!H61+сКомХоз!H61+сБлагоуст!H61+сРитуал!H61+сПенс!H61+сНадгроб!H61</f>
        <v>152.4</v>
      </c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>
        <f ca="1">сВДЛ!H62+сДеп!H62+сКомУсл!H63+сЗП!H62+сАУП!H62+сКСП!H62+сВыборы!H62+сРезерв!H62+сДругие!H62+сПВУ!H62+сГОиЧС_1!H62+сГОиЧС_2!H62+сГОиЧС_3!H62+сДороги!H62+сНацЭкон!H62+сЖилфонд!H62+сКомХоз!H62+сБлагоуст!H62+сРитуал!H62+сПенс!H62+сНадгроб!H62</f>
        <v>6.6</v>
      </c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>
        <f ca="1">сВДЛ!H63+сДеп!H63+сКомУсл!H64+сЗП!H63+сАУП!H63+сКСП!H63+сВыборы!H63+сРезерв!H63+сДругие!H63+сПВУ!H63+сГОиЧС_1!H63+сГОиЧС_2!H63+сГОиЧС_3!H63+сДороги!H63+сНацЭкон!H63+сЖилфонд!H63+сКомХоз!H63+сБлагоуст!H63+сРитуал!H63+сПенс!H63+сНадгроб!H63</f>
        <v>60.6</v>
      </c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>
        <f ca="1">сВДЛ!H64+сДеп!H64+сКомУсл!H65+сЗП!H64+сАУП!H64+сКСП!H64+сВыборы!H64+сРезерв!H64+сДругие!H64+сПВУ!H64+сГОиЧС_1!H64+сГОиЧС_2!H64+сГОиЧС_3!H64+сДороги!H64+сНацЭкон!H64+сЖилфонд!H64+сКомХоз!H64+сБлагоуст!H64+сРитуал!H64+сПенс!H64+сНадгроб!H64</f>
        <v>10</v>
      </c>
    </row>
    <row r="65" spans="1:9">
      <c r="A65" s="519" t="s">
        <v>602</v>
      </c>
      <c r="B65" s="728"/>
      <c r="C65" s="728"/>
      <c r="D65" s="728"/>
      <c r="E65" s="728"/>
      <c r="F65" s="518"/>
      <c r="G65" s="518"/>
      <c r="H65" s="730">
        <f>H59+H16</f>
        <v>34240.799999999996</v>
      </c>
      <c r="I65" s="784"/>
    </row>
    <row r="66" spans="1:9">
      <c r="A66" s="742"/>
      <c r="B66" s="743"/>
      <c r="C66" s="743"/>
      <c r="D66" s="743"/>
      <c r="E66" s="743"/>
      <c r="F66" s="743"/>
      <c r="G66" s="743"/>
      <c r="H66" s="744"/>
    </row>
    <row r="67" spans="1:9">
      <c r="H67" s="691"/>
    </row>
    <row r="68" spans="1:9">
      <c r="H68" s="470" t="s">
        <v>231</v>
      </c>
      <c r="I68" s="574">
        <f ca="1">рВДЛ!G10+рВДЛ!G19+рВДЛ!I26+рДеп!J10+рДеп!J17+рКомУсл!F33+рЗП!G11+рЗП!G18+рЗП!G50+рЗП!I57+рЗП!I66+рЗП!I72+рАУП!I15+рАУП!H21+рАУП!I35+рАУП!I73+рАУП!H82+рАУП!H89+рАУП!H95+рАУП!I100+рКСП!H10+рВыборы!J10+рРезерв!H10+рДругие!H11+рДругие!F41+рДругие!I50+рДругие!I56+рДругие!I64+рДругие!I72+рДругие!H82+рПВУ!H10+рПВУ!I16+рПВУ!H22+рГОиЧС!H12+рДороги!H11+рДороги!H23+рНацЭкон!H11+рНацЭкон!H18+рЖилфонд!H18+рЖилфонд!H31+рЖилфонд!H40+рКомХоз!H11+рБлагоус!J14+рБлагоус!J21+рБлагоус!J29+рБлагоус!J37+рРитуал!H11+рПенс!H20+рНадгроб!H11</f>
        <v>34240.800000000003</v>
      </c>
    </row>
  </sheetData>
  <mergeCells count="22">
    <mergeCell ref="E11:F11"/>
    <mergeCell ref="G11:H11"/>
    <mergeCell ref="A6:H6"/>
    <mergeCell ref="A7:H7"/>
    <mergeCell ref="E8:F8"/>
    <mergeCell ref="G8:H8"/>
    <mergeCell ref="A14:A15"/>
    <mergeCell ref="B14:G14"/>
    <mergeCell ref="H14:H15"/>
    <mergeCell ref="A10:D10"/>
    <mergeCell ref="E10:F10"/>
    <mergeCell ref="G10:H10"/>
    <mergeCell ref="D1:H1"/>
    <mergeCell ref="D2:H2"/>
    <mergeCell ref="D3:H3"/>
    <mergeCell ref="D4:E4"/>
    <mergeCell ref="F4:H4"/>
    <mergeCell ref="E9:F9"/>
    <mergeCell ref="G9:H9"/>
    <mergeCell ref="A9:D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J67"/>
  <sheetViews>
    <sheetView showZeros="0" topLeftCell="A40" workbookViewId="0">
      <selection activeCell="E18" sqref="E18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4" width="9.140625" style="669" customWidth="1"/>
    <col min="255" max="255" width="49.42578125" style="669" customWidth="1"/>
    <col min="256" max="16384" width="3.5703125" style="669"/>
  </cols>
  <sheetData>
    <row r="1" spans="1:10" s="709" customFormat="1" ht="17.25" customHeight="1">
      <c r="A1" s="708"/>
      <c r="D1" s="968" t="s">
        <v>552</v>
      </c>
      <c r="E1" s="968"/>
      <c r="F1" s="968"/>
      <c r="G1" s="968"/>
      <c r="H1" s="968"/>
      <c r="I1" s="717"/>
    </row>
    <row r="2" spans="1:10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7"/>
      <c r="J2" s="781"/>
    </row>
    <row r="3" spans="1:10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7"/>
      <c r="J3" s="712"/>
    </row>
    <row r="4" spans="1:10" s="709" customFormat="1" ht="17.25" customHeight="1">
      <c r="D4" s="971"/>
      <c r="E4" s="971"/>
      <c r="F4" s="971" t="s">
        <v>82</v>
      </c>
      <c r="G4" s="971"/>
      <c r="H4" s="971"/>
      <c r="I4" s="717"/>
    </row>
    <row r="5" spans="1:10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7"/>
    </row>
    <row r="6" spans="1:10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4"/>
      <c r="J6" s="766"/>
    </row>
    <row r="7" spans="1:10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  <c r="J7" s="767"/>
    </row>
    <row r="8" spans="1:10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4"/>
      <c r="J8" s="782"/>
    </row>
    <row r="9" spans="1:10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  <c r="J9" s="767"/>
    </row>
    <row r="10" spans="1:10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  <c r="J10" s="767"/>
    </row>
    <row r="11" spans="1:10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  <c r="J11" s="719"/>
    </row>
    <row r="12" spans="1:10" s="170" customFormat="1" ht="33.75" customHeight="1">
      <c r="A12" s="988" t="s">
        <v>359</v>
      </c>
      <c r="B12" s="988"/>
      <c r="C12" s="988"/>
      <c r="D12" s="988"/>
      <c r="E12" s="988"/>
      <c r="F12" s="988"/>
      <c r="G12" s="988"/>
      <c r="H12" s="988"/>
      <c r="I12" s="574"/>
    </row>
    <row r="13" spans="1:10" s="170" customFormat="1" ht="6" customHeight="1">
      <c r="E13" s="722"/>
      <c r="F13" s="722"/>
      <c r="G13" s="722"/>
      <c r="H13" s="722"/>
      <c r="I13" s="574"/>
    </row>
    <row r="14" spans="1:10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574"/>
    </row>
    <row r="15" spans="1:10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68"/>
    </row>
    <row r="16" spans="1:10">
      <c r="A16" s="512" t="s">
        <v>852</v>
      </c>
      <c r="B16" s="529" t="s">
        <v>358</v>
      </c>
      <c r="C16" s="529" t="s">
        <v>360</v>
      </c>
      <c r="D16" s="529" t="s">
        <v>708</v>
      </c>
      <c r="E16" s="529" t="s">
        <v>570</v>
      </c>
      <c r="F16" s="534" t="s">
        <v>570</v>
      </c>
      <c r="G16" s="507"/>
      <c r="H16" s="528">
        <f>H17+H24+H44+H46+H48+H52</f>
        <v>2962.2999999999997</v>
      </c>
    </row>
    <row r="17" spans="1:10">
      <c r="A17" s="513" t="s">
        <v>853</v>
      </c>
      <c r="B17" s="726" t="s">
        <v>358</v>
      </c>
      <c r="C17" s="726" t="s">
        <v>360</v>
      </c>
      <c r="D17" s="726" t="s">
        <v>364</v>
      </c>
      <c r="E17" s="726" t="s">
        <v>366</v>
      </c>
      <c r="F17" s="506">
        <v>210</v>
      </c>
      <c r="G17" s="506"/>
      <c r="H17" s="727">
        <f>H18+H19+H21+H22</f>
        <v>2935.2999999999997</v>
      </c>
    </row>
    <row r="18" spans="1:10">
      <c r="A18" s="514" t="s">
        <v>571</v>
      </c>
      <c r="B18" s="728" t="s">
        <v>358</v>
      </c>
      <c r="C18" s="728" t="s">
        <v>360</v>
      </c>
      <c r="D18" s="728" t="s">
        <v>364</v>
      </c>
      <c r="E18" s="529" t="s">
        <v>638</v>
      </c>
      <c r="F18" s="507">
        <v>211</v>
      </c>
      <c r="G18" s="507"/>
      <c r="H18" s="730">
        <f ca="1">рВДЛ!G10</f>
        <v>2369.1999999999998</v>
      </c>
      <c r="J18" s="691"/>
    </row>
    <row r="19" spans="1:10">
      <c r="A19" s="514" t="s">
        <v>854</v>
      </c>
      <c r="B19" s="728"/>
      <c r="C19" s="728"/>
      <c r="D19" s="728"/>
      <c r="E19" s="728"/>
      <c r="F19" s="507">
        <v>212</v>
      </c>
      <c r="G19" s="507"/>
      <c r="H19" s="730">
        <f ca="1">H20</f>
        <v>0</v>
      </c>
      <c r="J19" s="691"/>
    </row>
    <row r="20" spans="1:10">
      <c r="A20" s="515" t="s">
        <v>572</v>
      </c>
      <c r="B20" s="732"/>
      <c r="C20" s="732"/>
      <c r="D20" s="732"/>
      <c r="E20" s="732"/>
      <c r="F20" s="508">
        <v>212</v>
      </c>
      <c r="G20" s="508">
        <v>610</v>
      </c>
      <c r="H20" s="264"/>
    </row>
    <row r="21" spans="1:10">
      <c r="A21" s="514" t="s">
        <v>855</v>
      </c>
      <c r="B21" s="728" t="s">
        <v>358</v>
      </c>
      <c r="C21" s="728" t="s">
        <v>360</v>
      </c>
      <c r="D21" s="728" t="s">
        <v>364</v>
      </c>
      <c r="E21" s="529" t="s">
        <v>639</v>
      </c>
      <c r="F21" s="507">
        <v>213</v>
      </c>
      <c r="G21" s="507"/>
      <c r="H21" s="730">
        <f ca="1">рВДЛ!G19</f>
        <v>566.1</v>
      </c>
    </row>
    <row r="22" spans="1:10" ht="24">
      <c r="A22" s="514" t="s">
        <v>856</v>
      </c>
      <c r="B22" s="728"/>
      <c r="C22" s="728"/>
      <c r="D22" s="728"/>
      <c r="E22" s="728"/>
      <c r="F22" s="507">
        <v>214</v>
      </c>
      <c r="G22" s="507"/>
      <c r="H22" s="730">
        <f>H23</f>
        <v>0</v>
      </c>
    </row>
    <row r="23" spans="1:10">
      <c r="A23" s="515" t="s">
        <v>646</v>
      </c>
      <c r="B23" s="732"/>
      <c r="C23" s="732"/>
      <c r="D23" s="732"/>
      <c r="E23" s="732"/>
      <c r="F23" s="508">
        <v>214</v>
      </c>
      <c r="G23" s="508">
        <v>831</v>
      </c>
      <c r="H23" s="264"/>
    </row>
    <row r="24" spans="1:10">
      <c r="A24" s="513" t="s">
        <v>857</v>
      </c>
      <c r="B24" s="726"/>
      <c r="C24" s="726"/>
      <c r="D24" s="726"/>
      <c r="E24" s="726"/>
      <c r="F24" s="506">
        <v>220</v>
      </c>
      <c r="G24" s="506"/>
      <c r="H24" s="727">
        <f>H25+H26+H28+H32+H36</f>
        <v>0</v>
      </c>
    </row>
    <row r="25" spans="1:10">
      <c r="A25" s="514" t="s">
        <v>576</v>
      </c>
      <c r="B25" s="728"/>
      <c r="C25" s="728"/>
      <c r="D25" s="728"/>
      <c r="E25" s="728"/>
      <c r="F25" s="507">
        <v>221</v>
      </c>
      <c r="G25" s="507"/>
      <c r="H25" s="730"/>
    </row>
    <row r="26" spans="1:10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10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10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10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10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10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10">
      <c r="A32" s="514" t="s">
        <v>859</v>
      </c>
      <c r="B32" s="728"/>
      <c r="C32" s="728"/>
      <c r="D32" s="728"/>
      <c r="E32" s="728"/>
      <c r="F32" s="507">
        <v>225</v>
      </c>
      <c r="G32" s="507"/>
      <c r="H32" s="730">
        <f>SUM(H33:H35)</f>
        <v>0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/>
      <c r="C34" s="732"/>
      <c r="D34" s="732"/>
      <c r="E34" s="732"/>
      <c r="F34" s="508">
        <v>225</v>
      </c>
      <c r="G34" s="508" t="s">
        <v>583</v>
      </c>
      <c r="H34" s="264"/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/>
      <c r="C36" s="728"/>
      <c r="D36" s="728"/>
      <c r="E36" s="728"/>
      <c r="F36" s="507" t="s">
        <v>575</v>
      </c>
      <c r="G36" s="507"/>
      <c r="H36" s="730">
        <f>SUM(H37:H43)</f>
        <v>0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69"/>
    </row>
    <row r="38" spans="1:9">
      <c r="A38" s="515" t="s">
        <v>586</v>
      </c>
      <c r="B38" s="732"/>
      <c r="C38" s="732"/>
      <c r="D38" s="732"/>
      <c r="E38" s="732"/>
      <c r="F38" s="508">
        <v>226</v>
      </c>
      <c r="G38" s="508" t="s">
        <v>587</v>
      </c>
      <c r="H38" s="264"/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732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2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</row>
    <row r="47" spans="1:9">
      <c r="A47" s="514" t="s">
        <v>864</v>
      </c>
      <c r="B47" s="734"/>
      <c r="C47" s="734"/>
      <c r="D47" s="734"/>
      <c r="E47" s="734"/>
      <c r="F47" s="507">
        <v>251</v>
      </c>
      <c r="G47" s="507"/>
      <c r="H47" s="528"/>
    </row>
    <row r="48" spans="1:9">
      <c r="A48" s="513" t="s">
        <v>865</v>
      </c>
      <c r="B48" s="737"/>
      <c r="C48" s="737"/>
      <c r="D48" s="737"/>
      <c r="E48" s="737"/>
      <c r="F48" s="506" t="s">
        <v>591</v>
      </c>
      <c r="G48" s="506"/>
      <c r="H48" s="738">
        <f>H49+H51</f>
        <v>27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 t="s">
        <v>358</v>
      </c>
      <c r="C51" s="728" t="s">
        <v>360</v>
      </c>
      <c r="D51" s="728" t="s">
        <v>364</v>
      </c>
      <c r="E51" s="728" t="s">
        <v>638</v>
      </c>
      <c r="F51" s="507">
        <v>266</v>
      </c>
      <c r="G51" s="507"/>
      <c r="H51" s="730">
        <f ca="1">рВДЛ!I26</f>
        <v>27</v>
      </c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734"/>
      <c r="C53" s="734"/>
      <c r="D53" s="734"/>
      <c r="E53" s="734"/>
      <c r="F53" s="510">
        <v>291</v>
      </c>
      <c r="G53" s="510"/>
      <c r="H53" s="528"/>
    </row>
    <row r="54" spans="1:8">
      <c r="A54" s="516" t="s">
        <v>605</v>
      </c>
      <c r="B54" s="728"/>
      <c r="C54" s="728"/>
      <c r="D54" s="728"/>
      <c r="E54" s="728"/>
      <c r="F54" s="510">
        <v>292</v>
      </c>
      <c r="G54" s="510"/>
      <c r="H54" s="730"/>
    </row>
    <row r="55" spans="1:8">
      <c r="A55" s="516" t="s">
        <v>606</v>
      </c>
      <c r="B55" s="728"/>
      <c r="C55" s="728"/>
      <c r="D55" s="728"/>
      <c r="E55" s="728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28"/>
      <c r="C57" s="728"/>
      <c r="D57" s="728"/>
      <c r="E57" s="728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734"/>
      <c r="C60" s="734"/>
      <c r="D60" s="734"/>
      <c r="E60" s="734"/>
      <c r="F60" s="507" t="s">
        <v>598</v>
      </c>
      <c r="G60" s="507"/>
      <c r="H60" s="528">
        <f>H61</f>
        <v>0</v>
      </c>
    </row>
    <row r="61" spans="1:8">
      <c r="A61" s="515" t="s">
        <v>599</v>
      </c>
      <c r="B61" s="728"/>
      <c r="C61" s="728"/>
      <c r="D61" s="728"/>
      <c r="E61" s="728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8">
      <c r="A65" s="517" t="s">
        <v>710</v>
      </c>
      <c r="B65" s="728" t="s">
        <v>358</v>
      </c>
      <c r="C65" s="728" t="s">
        <v>360</v>
      </c>
      <c r="D65" s="728" t="s">
        <v>364</v>
      </c>
      <c r="E65" s="728" t="s">
        <v>366</v>
      </c>
      <c r="F65" s="511"/>
      <c r="G65" s="511"/>
      <c r="H65" s="730">
        <f>H18+H21+H51</f>
        <v>2962.2999999999997</v>
      </c>
    </row>
    <row r="66" spans="1:8">
      <c r="A66" s="519" t="s">
        <v>602</v>
      </c>
      <c r="B66" s="728" t="s">
        <v>358</v>
      </c>
      <c r="C66" s="728" t="s">
        <v>360</v>
      </c>
      <c r="D66" s="728" t="s">
        <v>708</v>
      </c>
      <c r="E66" s="728" t="s">
        <v>570</v>
      </c>
      <c r="F66" s="518"/>
      <c r="G66" s="518"/>
      <c r="H66" s="730">
        <f>H59+H16</f>
        <v>2962.2999999999997</v>
      </c>
    </row>
    <row r="67" spans="1:8">
      <c r="A67" s="742"/>
      <c r="B67" s="743"/>
      <c r="C67" s="743"/>
      <c r="D67" s="743"/>
      <c r="E67" s="743"/>
      <c r="F67" s="743"/>
      <c r="G67" s="743"/>
      <c r="H67" s="744"/>
    </row>
  </sheetData>
  <mergeCells count="23">
    <mergeCell ref="A14:A15"/>
    <mergeCell ref="B14:G14"/>
    <mergeCell ref="H14:H15"/>
    <mergeCell ref="A10:D10"/>
    <mergeCell ref="E11:F11"/>
    <mergeCell ref="G11:H11"/>
    <mergeCell ref="A12:H12"/>
    <mergeCell ref="E9:F9"/>
    <mergeCell ref="G9:H9"/>
    <mergeCell ref="A9:D9"/>
    <mergeCell ref="E10:F10"/>
    <mergeCell ref="G10:H10"/>
    <mergeCell ref="A6:H6"/>
    <mergeCell ref="A7:H7"/>
    <mergeCell ref="E8:F8"/>
    <mergeCell ref="G8:H8"/>
    <mergeCell ref="D5:E5"/>
    <mergeCell ref="F5:H5"/>
    <mergeCell ref="D1:H1"/>
    <mergeCell ref="D2:H2"/>
    <mergeCell ref="D3:H3"/>
    <mergeCell ref="D4:E4"/>
    <mergeCell ref="F4:H4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T49"/>
  <sheetViews>
    <sheetView workbookViewId="0">
      <selection activeCell="G10" activeCellId="2" sqref="I26 G19 G10"/>
    </sheetView>
  </sheetViews>
  <sheetFormatPr defaultColWidth="10.5703125" defaultRowHeight="15"/>
  <cols>
    <col min="1" max="1" width="3.7109375" style="139" customWidth="1"/>
    <col min="2" max="2" width="25.140625" style="139" customWidth="1"/>
    <col min="3" max="3" width="8.7109375" style="139" customWidth="1"/>
    <col min="4" max="4" width="8" style="139" customWidth="1"/>
    <col min="5" max="5" width="10.5703125" style="139" customWidth="1"/>
    <col min="6" max="6" width="13.28515625" style="139" customWidth="1"/>
    <col min="7" max="7" width="11.7109375" style="139" customWidth="1"/>
    <col min="8" max="8" width="11.5703125" style="139" customWidth="1"/>
    <col min="9" max="9" width="16.7109375" style="139" customWidth="1"/>
    <col min="10" max="10" width="12" style="139" customWidth="1"/>
    <col min="11" max="11" width="12.140625" style="139" customWidth="1"/>
    <col min="12" max="12" width="13" style="139" customWidth="1"/>
    <col min="13" max="13" width="11.5703125" style="139" customWidth="1"/>
    <col min="14" max="14" width="12.140625" style="139" customWidth="1"/>
    <col min="15" max="15" width="11.85546875" style="139" bestFit="1" customWidth="1"/>
    <col min="16" max="16" width="10.42578125" style="139" bestFit="1" customWidth="1"/>
    <col min="17" max="17" width="11.7109375" style="139" bestFit="1" customWidth="1"/>
    <col min="18" max="254" width="9.140625" style="139" customWidth="1"/>
    <col min="255" max="255" width="5.85546875" style="139" customWidth="1"/>
    <col min="256" max="16384" width="10.5703125" style="139"/>
  </cols>
  <sheetData>
    <row r="1" spans="1:20" ht="29.25" customHeight="1">
      <c r="A1" s="988" t="s">
        <v>359</v>
      </c>
      <c r="B1" s="988"/>
      <c r="C1" s="988"/>
      <c r="D1" s="988"/>
      <c r="E1" s="988"/>
      <c r="F1" s="988"/>
      <c r="G1" s="988"/>
      <c r="H1" s="149"/>
    </row>
    <row r="3" spans="1:20" ht="15.75">
      <c r="A3" s="1003" t="s">
        <v>609</v>
      </c>
      <c r="B3" s="1003"/>
      <c r="C3" s="1003"/>
      <c r="D3" s="1003"/>
      <c r="E3" s="1003"/>
      <c r="F3" s="1003"/>
      <c r="G3" s="1003"/>
      <c r="H3" s="150"/>
    </row>
    <row r="4" spans="1:20" ht="15.75">
      <c r="A4" s="1004" t="str">
        <f ca="1">'СВОД смет'!A7:H7</f>
        <v>на 2021 год</v>
      </c>
      <c r="B4" s="1004"/>
      <c r="C4" s="1004"/>
      <c r="D4" s="1004"/>
      <c r="E4" s="1004"/>
      <c r="F4" s="1004"/>
      <c r="G4" s="1004"/>
      <c r="H4" s="151"/>
      <c r="Q4" s="140"/>
      <c r="R4" s="140"/>
      <c r="S4" s="140"/>
      <c r="T4" s="140"/>
    </row>
    <row r="5" spans="1:20" ht="15.75">
      <c r="A5" s="185"/>
      <c r="B5" s="185"/>
      <c r="C5" s="185"/>
      <c r="D5" s="185"/>
      <c r="E5" s="185"/>
      <c r="F5" s="185"/>
      <c r="G5" s="185"/>
      <c r="H5" s="151"/>
      <c r="Q5" s="140"/>
      <c r="R5" s="140"/>
      <c r="S5" s="140"/>
      <c r="T5" s="140"/>
    </row>
    <row r="6" spans="1:20">
      <c r="A6" s="998" t="s">
        <v>610</v>
      </c>
      <c r="B6" s="998"/>
      <c r="C6" s="998"/>
      <c r="D6" s="998"/>
      <c r="E6" s="998"/>
      <c r="F6" s="998"/>
      <c r="G6" s="998"/>
      <c r="H6" s="152"/>
      <c r="J6" s="439" t="s">
        <v>611</v>
      </c>
      <c r="K6" s="439" t="s">
        <v>612</v>
      </c>
      <c r="L6" s="440" t="s">
        <v>613</v>
      </c>
      <c r="M6" s="439" t="s">
        <v>786</v>
      </c>
      <c r="N6" s="172"/>
      <c r="R6" s="140"/>
      <c r="S6" s="140"/>
      <c r="T6" s="140"/>
    </row>
    <row r="7" spans="1:20" ht="24">
      <c r="A7" s="157" t="s">
        <v>483</v>
      </c>
      <c r="B7" s="157" t="s">
        <v>715</v>
      </c>
      <c r="C7" s="155" t="s">
        <v>568</v>
      </c>
      <c r="D7" s="156" t="s">
        <v>614</v>
      </c>
      <c r="E7" s="157" t="s">
        <v>641</v>
      </c>
      <c r="F7" s="154" t="s">
        <v>89</v>
      </c>
      <c r="G7" s="157" t="s">
        <v>90</v>
      </c>
      <c r="I7" s="441"/>
      <c r="J7" s="442">
        <f>22%</f>
        <v>0.22</v>
      </c>
      <c r="K7" s="442">
        <v>5.0999999999999997E-2</v>
      </c>
      <c r="L7" s="442">
        <v>2.9000000000000001E-2</v>
      </c>
      <c r="M7" s="442">
        <v>2E-3</v>
      </c>
      <c r="N7" s="172"/>
      <c r="R7" s="141"/>
      <c r="S7" s="158"/>
      <c r="T7" s="140"/>
    </row>
    <row r="8" spans="1:20">
      <c r="A8" s="159">
        <v>1</v>
      </c>
      <c r="B8" s="159">
        <v>2</v>
      </c>
      <c r="C8" s="159">
        <v>3</v>
      </c>
      <c r="D8" s="159">
        <v>4</v>
      </c>
      <c r="E8" s="159">
        <v>5</v>
      </c>
      <c r="F8" s="159">
        <v>6</v>
      </c>
      <c r="G8" s="159">
        <v>7</v>
      </c>
      <c r="I8" s="443" t="s">
        <v>616</v>
      </c>
      <c r="J8" s="444">
        <f>ROUND(1465000/1000,1)</f>
        <v>1465</v>
      </c>
      <c r="K8" s="445">
        <f>G9</f>
        <v>2369.1999999999998</v>
      </c>
      <c r="L8" s="445">
        <f>ROUND(966000/1000,1)</f>
        <v>966</v>
      </c>
      <c r="M8" s="445">
        <f>G9</f>
        <v>2369.1999999999998</v>
      </c>
      <c r="N8" s="172"/>
      <c r="R8" s="142"/>
      <c r="S8" s="143"/>
      <c r="T8" s="140"/>
    </row>
    <row r="9" spans="1:20" ht="24">
      <c r="A9" s="160">
        <v>1</v>
      </c>
      <c r="B9" s="437" t="s">
        <v>788</v>
      </c>
      <c r="C9" s="154">
        <v>211</v>
      </c>
      <c r="D9" s="154"/>
      <c r="E9" s="154">
        <v>1</v>
      </c>
      <c r="F9" s="848">
        <v>2369228.4</v>
      </c>
      <c r="G9" s="203">
        <f>ROUND(F9/1000,1)</f>
        <v>2369.1999999999998</v>
      </c>
      <c r="H9" s="474"/>
      <c r="I9" s="449" t="s">
        <v>787</v>
      </c>
      <c r="J9" s="446">
        <f>ROUND(J8*J7,1)</f>
        <v>322.3</v>
      </c>
      <c r="K9" s="446">
        <f>ROUND(K8*K7,1)</f>
        <v>120.8</v>
      </c>
      <c r="L9" s="446">
        <f>ROUND(L8*L7,1)</f>
        <v>28</v>
      </c>
      <c r="M9" s="446">
        <f>ROUND(M8*M7,1)</f>
        <v>4.7</v>
      </c>
      <c r="N9" s="620">
        <f>SUM(J9:M9)-0.1</f>
        <v>475.7</v>
      </c>
      <c r="R9" s="140"/>
      <c r="S9" s="140"/>
      <c r="T9" s="140"/>
    </row>
    <row r="10" spans="1:20" ht="24.75" customHeight="1">
      <c r="A10" s="999" t="s">
        <v>617</v>
      </c>
      <c r="B10" s="1000"/>
      <c r="C10" s="1000"/>
      <c r="D10" s="1000"/>
      <c r="E10" s="1000"/>
      <c r="F10" s="256">
        <f>SUM(F9:F9)</f>
        <v>2369228.4</v>
      </c>
      <c r="G10" s="266">
        <f>SUM(G9:G9)</f>
        <v>2369.1999999999998</v>
      </c>
      <c r="J10" s="439" t="s">
        <v>611</v>
      </c>
      <c r="K10" s="439" t="s">
        <v>612</v>
      </c>
      <c r="L10" s="440" t="s">
        <v>613</v>
      </c>
      <c r="M10" s="439" t="s">
        <v>786</v>
      </c>
      <c r="N10" s="172"/>
      <c r="R10" s="140"/>
      <c r="S10" s="140"/>
      <c r="T10" s="140"/>
    </row>
    <row r="11" spans="1:20">
      <c r="H11" s="144"/>
      <c r="I11" s="441"/>
      <c r="J11" s="442">
        <v>0.1</v>
      </c>
      <c r="K11" s="447" t="s">
        <v>618</v>
      </c>
      <c r="L11" s="442">
        <v>0</v>
      </c>
      <c r="M11" s="447" t="s">
        <v>618</v>
      </c>
      <c r="N11" s="460">
        <f>SUM(J13:M13)</f>
        <v>90.4</v>
      </c>
      <c r="R11" s="140"/>
      <c r="S11" s="140"/>
      <c r="T11" s="140"/>
    </row>
    <row r="12" spans="1:20">
      <c r="I12" s="443" t="s">
        <v>644</v>
      </c>
      <c r="J12" s="445">
        <f>ROUND(G9-J8,1)</f>
        <v>904.2</v>
      </c>
      <c r="K12" s="445"/>
      <c r="L12" s="445"/>
      <c r="M12" s="445"/>
      <c r="N12" s="459">
        <f>N9+N11</f>
        <v>566.1</v>
      </c>
      <c r="R12" s="142"/>
      <c r="S12" s="140"/>
      <c r="T12" s="140"/>
    </row>
    <row r="13" spans="1:20">
      <c r="A13" s="152"/>
      <c r="B13" s="152"/>
      <c r="C13" s="152"/>
      <c r="D13" s="152"/>
      <c r="E13" s="152"/>
      <c r="F13" s="152"/>
      <c r="G13" s="144"/>
      <c r="H13" s="152"/>
      <c r="I13" s="449" t="s">
        <v>787</v>
      </c>
      <c r="J13" s="448">
        <f>ROUND(J12*J11,1)</f>
        <v>90.4</v>
      </c>
      <c r="K13" s="448"/>
      <c r="L13" s="448"/>
      <c r="M13" s="448"/>
      <c r="R13" s="140"/>
      <c r="S13" s="140"/>
      <c r="T13" s="140"/>
    </row>
    <row r="14" spans="1:20">
      <c r="A14" s="161"/>
      <c r="B14" s="161"/>
      <c r="C14" s="161"/>
      <c r="D14" s="161"/>
      <c r="E14" s="161"/>
      <c r="F14" s="161"/>
      <c r="G14" s="161"/>
      <c r="H14" s="145"/>
      <c r="I14" s="991" t="s">
        <v>796</v>
      </c>
      <c r="J14" s="991"/>
      <c r="K14" s="991"/>
      <c r="L14" s="991"/>
      <c r="M14" s="991"/>
      <c r="R14" s="140"/>
      <c r="S14" s="140"/>
      <c r="T14" s="140"/>
    </row>
    <row r="15" spans="1:20">
      <c r="A15" s="998" t="s">
        <v>619</v>
      </c>
      <c r="B15" s="998"/>
      <c r="C15" s="998"/>
      <c r="D15" s="998"/>
      <c r="E15" s="998"/>
      <c r="F15" s="998"/>
      <c r="G15" s="998"/>
      <c r="H15" s="152"/>
      <c r="R15" s="140"/>
      <c r="S15" s="140"/>
      <c r="T15" s="140"/>
    </row>
    <row r="16" spans="1:20" ht="24">
      <c r="A16" s="157" t="s">
        <v>483</v>
      </c>
      <c r="B16" s="157" t="s">
        <v>715</v>
      </c>
      <c r="C16" s="155" t="s">
        <v>568</v>
      </c>
      <c r="D16" s="156" t="s">
        <v>614</v>
      </c>
      <c r="E16" s="157" t="s">
        <v>641</v>
      </c>
      <c r="F16" s="154" t="s">
        <v>89</v>
      </c>
      <c r="G16" s="157" t="s">
        <v>90</v>
      </c>
      <c r="I16" s="989" t="s">
        <v>1</v>
      </c>
      <c r="J16" s="621">
        <f>1292000*22%</f>
        <v>284240</v>
      </c>
      <c r="K16" s="621">
        <f>2365199.1*5.1%</f>
        <v>120625.1541</v>
      </c>
      <c r="L16" s="621">
        <f>912000*2.9%</f>
        <v>26447.999999999996</v>
      </c>
      <c r="M16" s="622">
        <f>2365199.1*0.2%</f>
        <v>4730.3982000000005</v>
      </c>
    </row>
    <row r="17" spans="1:13">
      <c r="A17" s="165">
        <v>1</v>
      </c>
      <c r="B17" s="165">
        <v>2</v>
      </c>
      <c r="C17" s="165">
        <v>3</v>
      </c>
      <c r="D17" s="165">
        <v>4</v>
      </c>
      <c r="E17" s="165">
        <v>5</v>
      </c>
      <c r="F17" s="165">
        <v>6</v>
      </c>
      <c r="G17" s="165">
        <v>7</v>
      </c>
      <c r="I17" s="990"/>
      <c r="J17" s="623">
        <f>1073199.1*10%</f>
        <v>107319.91000000002</v>
      </c>
      <c r="K17" s="624"/>
      <c r="L17" s="624"/>
      <c r="M17" s="625"/>
    </row>
    <row r="18" spans="1:13" ht="27.75" customHeight="1">
      <c r="A18" s="166">
        <v>1</v>
      </c>
      <c r="B18" s="450" t="s">
        <v>797</v>
      </c>
      <c r="C18" s="243">
        <v>213</v>
      </c>
      <c r="D18" s="243"/>
      <c r="E18" s="243">
        <v>1</v>
      </c>
      <c r="F18" s="848">
        <v>566093.94999999995</v>
      </c>
      <c r="G18" s="203">
        <f>ROUND(F18/1000,1)</f>
        <v>566.1</v>
      </c>
      <c r="H18" s="474"/>
    </row>
    <row r="19" spans="1:13">
      <c r="A19" s="996" t="s">
        <v>620</v>
      </c>
      <c r="B19" s="997"/>
      <c r="C19" s="997"/>
      <c r="D19" s="997"/>
      <c r="E19" s="997"/>
      <c r="F19" s="256">
        <f>SUM(F18:F18)</f>
        <v>566093.94999999995</v>
      </c>
      <c r="G19" s="258">
        <f>SUM(G18:G18)</f>
        <v>566.1</v>
      </c>
    </row>
    <row r="22" spans="1:13">
      <c r="A22" s="994" t="s">
        <v>700</v>
      </c>
      <c r="B22" s="994"/>
      <c r="C22" s="994"/>
      <c r="D22" s="994"/>
      <c r="E22" s="994"/>
      <c r="F22" s="994"/>
      <c r="G22" s="994"/>
      <c r="H22" s="994"/>
      <c r="I22" s="994"/>
      <c r="J22" s="634"/>
    </row>
    <row r="23" spans="1:13" ht="39.75" customHeight="1">
      <c r="A23" s="198" t="s">
        <v>483</v>
      </c>
      <c r="B23" s="157" t="s">
        <v>715</v>
      </c>
      <c r="C23" s="199" t="s">
        <v>568</v>
      </c>
      <c r="D23" s="198" t="s">
        <v>614</v>
      </c>
      <c r="E23" s="198" t="s">
        <v>635</v>
      </c>
      <c r="F23" s="198" t="s">
        <v>702</v>
      </c>
      <c r="G23" s="198" t="s">
        <v>703</v>
      </c>
      <c r="H23" s="238" t="s">
        <v>690</v>
      </c>
      <c r="I23" s="198" t="s">
        <v>626</v>
      </c>
      <c r="J23" s="145"/>
    </row>
    <row r="24" spans="1:13">
      <c r="A24" s="160">
        <v>1</v>
      </c>
      <c r="B24" s="160">
        <v>2</v>
      </c>
      <c r="C24" s="160">
        <v>3</v>
      </c>
      <c r="D24" s="160">
        <v>4</v>
      </c>
      <c r="E24" s="160">
        <v>5</v>
      </c>
      <c r="F24" s="160">
        <v>6</v>
      </c>
      <c r="G24" s="160">
        <v>7</v>
      </c>
      <c r="H24" s="166">
        <v>8</v>
      </c>
      <c r="I24" s="160">
        <v>9</v>
      </c>
      <c r="J24" s="145"/>
    </row>
    <row r="25" spans="1:13" ht="60" customHeight="1">
      <c r="A25" s="160">
        <v>1</v>
      </c>
      <c r="B25" s="629" t="s">
        <v>701</v>
      </c>
      <c r="C25" s="157">
        <v>266</v>
      </c>
      <c r="D25" s="218"/>
      <c r="E25" s="157">
        <v>1</v>
      </c>
      <c r="F25" s="635">
        <v>9000</v>
      </c>
      <c r="G25" s="198">
        <v>3</v>
      </c>
      <c r="H25" s="249">
        <f>E25*F25*G25</f>
        <v>27000</v>
      </c>
      <c r="I25" s="231">
        <f>ROUND(H25/1000,1)</f>
        <v>27</v>
      </c>
    </row>
    <row r="26" spans="1:13">
      <c r="A26" s="995" t="s">
        <v>704</v>
      </c>
      <c r="B26" s="995"/>
      <c r="C26" s="995"/>
      <c r="D26" s="995"/>
      <c r="E26" s="995"/>
      <c r="F26" s="995"/>
      <c r="G26" s="995"/>
      <c r="H26" s="256">
        <f>H25</f>
        <v>27000</v>
      </c>
      <c r="I26" s="241">
        <f>I25</f>
        <v>27</v>
      </c>
    </row>
    <row r="29" spans="1:13">
      <c r="A29" s="992" t="s">
        <v>621</v>
      </c>
      <c r="B29" s="992"/>
      <c r="C29" s="162"/>
      <c r="D29" s="993"/>
      <c r="E29" s="993"/>
      <c r="G29" s="993" t="s">
        <v>82</v>
      </c>
      <c r="H29" s="993"/>
    </row>
    <row r="30" spans="1:13">
      <c r="A30" s="1001" t="s">
        <v>554</v>
      </c>
      <c r="B30" s="1001"/>
      <c r="C30" s="163"/>
      <c r="D30" s="1002" t="s">
        <v>555</v>
      </c>
      <c r="E30" s="1002"/>
      <c r="G30" s="1002" t="s">
        <v>556</v>
      </c>
      <c r="H30" s="1002"/>
    </row>
    <row r="31" spans="1:13">
      <c r="A31" s="992" t="s">
        <v>622</v>
      </c>
      <c r="B31" s="992"/>
      <c r="C31" s="162"/>
      <c r="D31" s="993"/>
      <c r="E31" s="993"/>
      <c r="G31" s="993" t="s">
        <v>550</v>
      </c>
      <c r="H31" s="993"/>
    </row>
    <row r="32" spans="1:13">
      <c r="A32" s="1001" t="s">
        <v>554</v>
      </c>
      <c r="B32" s="1001"/>
      <c r="C32" s="163"/>
      <c r="D32" s="1002" t="s">
        <v>555</v>
      </c>
      <c r="E32" s="1002"/>
      <c r="G32" s="1002" t="s">
        <v>556</v>
      </c>
      <c r="H32" s="1002"/>
    </row>
    <row r="42" spans="2:16">
      <c r="F42" s="162"/>
    </row>
    <row r="43" spans="2:16">
      <c r="F43" s="163"/>
    </row>
    <row r="44" spans="2:16">
      <c r="F44" s="162"/>
    </row>
    <row r="45" spans="2:16">
      <c r="F45" s="163"/>
    </row>
    <row r="46" spans="2:16">
      <c r="H46" s="146"/>
    </row>
    <row r="47" spans="2:16">
      <c r="P47" s="147"/>
    </row>
    <row r="48" spans="2:16">
      <c r="B48" s="263"/>
    </row>
    <row r="49" spans="2:2">
      <c r="B49" s="263"/>
    </row>
  </sheetData>
  <mergeCells count="23">
    <mergeCell ref="A1:G1"/>
    <mergeCell ref="A3:G3"/>
    <mergeCell ref="A4:G4"/>
    <mergeCell ref="A6:G6"/>
    <mergeCell ref="A10:E10"/>
    <mergeCell ref="A32:B32"/>
    <mergeCell ref="D32:E32"/>
    <mergeCell ref="G32:H32"/>
    <mergeCell ref="A29:B29"/>
    <mergeCell ref="D29:E29"/>
    <mergeCell ref="G29:H29"/>
    <mergeCell ref="A30:B30"/>
    <mergeCell ref="D30:E30"/>
    <mergeCell ref="G30:H30"/>
    <mergeCell ref="I16:I17"/>
    <mergeCell ref="I14:M14"/>
    <mergeCell ref="A31:B31"/>
    <mergeCell ref="D31:E31"/>
    <mergeCell ref="G31:H31"/>
    <mergeCell ref="A22:I22"/>
    <mergeCell ref="A26:G26"/>
    <mergeCell ref="A19:E19"/>
    <mergeCell ref="A15:G15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J67"/>
  <sheetViews>
    <sheetView showZeros="0" topLeftCell="A37" workbookViewId="0">
      <selection activeCell="F4" sqref="F4:H4"/>
    </sheetView>
  </sheetViews>
  <sheetFormatPr defaultColWidth="3.5703125" defaultRowHeight="15"/>
  <cols>
    <col min="1" max="1" width="49.42578125" style="669" customWidth="1"/>
    <col min="2" max="3" width="3.5703125" style="669" customWidth="1"/>
    <col min="4" max="4" width="11.42578125" style="669" customWidth="1"/>
    <col min="5" max="7" width="5.7109375" style="669" customWidth="1"/>
    <col min="8" max="8" width="9" style="669" customWidth="1"/>
    <col min="9" max="9" width="18.7109375" style="574" customWidth="1"/>
    <col min="10" max="254" width="9.140625" style="669" customWidth="1"/>
    <col min="255" max="255" width="49.42578125" style="669" customWidth="1"/>
    <col min="256" max="16384" width="3.5703125" style="669"/>
  </cols>
  <sheetData>
    <row r="1" spans="1:10" s="709" customFormat="1" ht="17.25" customHeight="1">
      <c r="A1" s="708"/>
      <c r="D1" s="968" t="s">
        <v>552</v>
      </c>
      <c r="E1" s="968"/>
      <c r="F1" s="968"/>
      <c r="G1" s="968"/>
      <c r="H1" s="968"/>
      <c r="I1" s="717"/>
    </row>
    <row r="2" spans="1:10" s="709" customFormat="1" ht="17.25" customHeight="1">
      <c r="A2" s="711"/>
      <c r="B2" s="711"/>
      <c r="C2" s="711"/>
      <c r="D2" s="969" t="s">
        <v>553</v>
      </c>
      <c r="E2" s="969"/>
      <c r="F2" s="969"/>
      <c r="G2" s="969"/>
      <c r="H2" s="969"/>
      <c r="I2" s="717"/>
      <c r="J2" s="781"/>
    </row>
    <row r="3" spans="1:10" s="709" customFormat="1" ht="12" customHeight="1">
      <c r="A3" s="712"/>
      <c r="B3" s="712"/>
      <c r="C3" s="712"/>
      <c r="D3" s="970" t="s">
        <v>554</v>
      </c>
      <c r="E3" s="970"/>
      <c r="F3" s="970"/>
      <c r="G3" s="970"/>
      <c r="H3" s="970"/>
      <c r="I3" s="717"/>
      <c r="J3" s="712"/>
    </row>
    <row r="4" spans="1:10" s="709" customFormat="1" ht="17.25" customHeight="1">
      <c r="D4" s="971"/>
      <c r="E4" s="971"/>
      <c r="F4" s="971" t="str">
        <f ca="1">сВДЛ!F4</f>
        <v>М.В. Златова</v>
      </c>
      <c r="G4" s="971"/>
      <c r="H4" s="971"/>
      <c r="I4" s="717"/>
    </row>
    <row r="5" spans="1:10" s="709" customFormat="1" ht="10.5" customHeight="1">
      <c r="A5" s="671"/>
      <c r="D5" s="970" t="s">
        <v>555</v>
      </c>
      <c r="E5" s="970"/>
      <c r="F5" s="970" t="s">
        <v>556</v>
      </c>
      <c r="G5" s="970"/>
      <c r="H5" s="970"/>
      <c r="I5" s="717"/>
    </row>
    <row r="6" spans="1:10" s="709" customFormat="1" ht="15" customHeight="1">
      <c r="A6" s="976" t="s">
        <v>557</v>
      </c>
      <c r="B6" s="976"/>
      <c r="C6" s="976"/>
      <c r="D6" s="976"/>
      <c r="E6" s="976"/>
      <c r="F6" s="976"/>
      <c r="G6" s="976"/>
      <c r="H6" s="976"/>
      <c r="I6" s="714"/>
      <c r="J6" s="766"/>
    </row>
    <row r="7" spans="1:10" s="709" customFormat="1" ht="15" customHeight="1">
      <c r="A7" s="976" t="str">
        <f ca="1">'СВОД смет'!A7:H7</f>
        <v>на 2021 год</v>
      </c>
      <c r="B7" s="976"/>
      <c r="C7" s="976"/>
      <c r="D7" s="976"/>
      <c r="E7" s="976"/>
      <c r="F7" s="976"/>
      <c r="G7" s="976"/>
      <c r="H7" s="976"/>
      <c r="I7" s="714"/>
      <c r="J7" s="767"/>
    </row>
    <row r="8" spans="1:10" s="709" customFormat="1" ht="13.5" customHeight="1">
      <c r="A8" s="715"/>
      <c r="B8" s="715"/>
      <c r="C8" s="715"/>
      <c r="D8" s="715"/>
      <c r="E8" s="977"/>
      <c r="F8" s="978"/>
      <c r="G8" s="979" t="s">
        <v>558</v>
      </c>
      <c r="H8" s="980"/>
      <c r="I8" s="714"/>
      <c r="J8" s="782"/>
    </row>
    <row r="9" spans="1:10" s="709" customFormat="1" ht="13.5" customHeight="1">
      <c r="A9" s="974" t="s">
        <v>559</v>
      </c>
      <c r="B9" s="974"/>
      <c r="C9" s="974"/>
      <c r="D9" s="975"/>
      <c r="E9" s="972" t="s">
        <v>560</v>
      </c>
      <c r="F9" s="972"/>
      <c r="G9" s="973">
        <v>4109076</v>
      </c>
      <c r="H9" s="973"/>
      <c r="I9" s="717"/>
      <c r="J9" s="767"/>
    </row>
    <row r="10" spans="1:10" s="709" customFormat="1" ht="13.5" customHeight="1">
      <c r="A10" s="986" t="s">
        <v>46</v>
      </c>
      <c r="B10" s="986"/>
      <c r="C10" s="986"/>
      <c r="D10" s="987"/>
      <c r="E10" s="972" t="s">
        <v>562</v>
      </c>
      <c r="F10" s="972"/>
      <c r="G10" s="973"/>
      <c r="H10" s="973"/>
      <c r="I10" s="717"/>
      <c r="J10" s="767"/>
    </row>
    <row r="11" spans="1:10" s="709" customFormat="1" ht="13.5" customHeight="1">
      <c r="A11" s="718" t="s">
        <v>563</v>
      </c>
      <c r="B11" s="719"/>
      <c r="C11" s="719"/>
      <c r="D11" s="719"/>
      <c r="E11" s="972" t="s">
        <v>564</v>
      </c>
      <c r="F11" s="972"/>
      <c r="G11" s="973">
        <v>384</v>
      </c>
      <c r="H11" s="973"/>
      <c r="I11" s="720"/>
      <c r="J11" s="719"/>
    </row>
    <row r="12" spans="1:10" s="170" customFormat="1" ht="33.75" customHeight="1">
      <c r="A12" s="988" t="s">
        <v>367</v>
      </c>
      <c r="B12" s="988"/>
      <c r="C12" s="988"/>
      <c r="D12" s="988"/>
      <c r="E12" s="988"/>
      <c r="F12" s="988"/>
      <c r="G12" s="988"/>
      <c r="H12" s="988"/>
      <c r="I12" s="574"/>
    </row>
    <row r="13" spans="1:10" s="170" customFormat="1" ht="6" customHeight="1">
      <c r="E13" s="722"/>
      <c r="F13" s="722"/>
      <c r="G13" s="722"/>
      <c r="H13" s="722"/>
      <c r="I13" s="574"/>
    </row>
    <row r="14" spans="1:10" s="170" customFormat="1">
      <c r="A14" s="981" t="s">
        <v>565</v>
      </c>
      <c r="B14" s="982" t="s">
        <v>566</v>
      </c>
      <c r="C14" s="983"/>
      <c r="D14" s="983"/>
      <c r="E14" s="983"/>
      <c r="F14" s="983"/>
      <c r="G14" s="984"/>
      <c r="H14" s="985" t="s">
        <v>873</v>
      </c>
      <c r="I14" s="574"/>
    </row>
    <row r="15" spans="1:10" ht="46.5" customHeight="1">
      <c r="A15" s="981"/>
      <c r="B15" s="723" t="s">
        <v>351</v>
      </c>
      <c r="C15" s="723" t="s">
        <v>352</v>
      </c>
      <c r="D15" s="724" t="s">
        <v>353</v>
      </c>
      <c r="E15" s="723" t="s">
        <v>567</v>
      </c>
      <c r="F15" s="724" t="s">
        <v>568</v>
      </c>
      <c r="G15" s="724" t="s">
        <v>569</v>
      </c>
      <c r="H15" s="985"/>
      <c r="I15" s="768"/>
    </row>
    <row r="16" spans="1:10">
      <c r="A16" s="512" t="s">
        <v>852</v>
      </c>
      <c r="B16" s="529" t="s">
        <v>358</v>
      </c>
      <c r="C16" s="529" t="s">
        <v>368</v>
      </c>
      <c r="D16" s="529" t="s">
        <v>708</v>
      </c>
      <c r="E16" s="529" t="s">
        <v>570</v>
      </c>
      <c r="F16" s="534" t="s">
        <v>570</v>
      </c>
      <c r="G16" s="511"/>
      <c r="H16" s="528">
        <f>H17+H24+H44+H46+H48+H52</f>
        <v>10</v>
      </c>
    </row>
    <row r="17" spans="1:10">
      <c r="A17" s="513" t="s">
        <v>853</v>
      </c>
      <c r="B17" s="726"/>
      <c r="C17" s="726"/>
      <c r="D17" s="726"/>
      <c r="E17" s="726"/>
      <c r="F17" s="506">
        <v>210</v>
      </c>
      <c r="G17" s="506"/>
      <c r="H17" s="727">
        <f>H18+H19+H21+H22</f>
        <v>0</v>
      </c>
    </row>
    <row r="18" spans="1:10">
      <c r="A18" s="514" t="s">
        <v>571</v>
      </c>
      <c r="B18" s="728"/>
      <c r="C18" s="728"/>
      <c r="D18" s="728"/>
      <c r="E18" s="529"/>
      <c r="F18" s="507">
        <v>211</v>
      </c>
      <c r="G18" s="507"/>
      <c r="H18" s="730"/>
      <c r="J18" s="691"/>
    </row>
    <row r="19" spans="1:10">
      <c r="A19" s="514" t="s">
        <v>854</v>
      </c>
      <c r="B19" s="728"/>
      <c r="C19" s="728"/>
      <c r="D19" s="728"/>
      <c r="E19" s="728"/>
      <c r="F19" s="507">
        <v>212</v>
      </c>
      <c r="G19" s="507"/>
      <c r="H19" s="730">
        <f>H20</f>
        <v>0</v>
      </c>
      <c r="J19" s="691"/>
    </row>
    <row r="20" spans="1:10">
      <c r="A20" s="515" t="s">
        <v>572</v>
      </c>
      <c r="B20" s="732"/>
      <c r="C20" s="732"/>
      <c r="D20" s="732"/>
      <c r="E20" s="732"/>
      <c r="F20" s="508">
        <v>212</v>
      </c>
      <c r="G20" s="508">
        <v>610</v>
      </c>
      <c r="H20" s="264"/>
    </row>
    <row r="21" spans="1:10">
      <c r="A21" s="514" t="s">
        <v>855</v>
      </c>
      <c r="B21" s="728"/>
      <c r="C21" s="728"/>
      <c r="D21" s="728"/>
      <c r="E21" s="529"/>
      <c r="F21" s="507">
        <v>213</v>
      </c>
      <c r="G21" s="507"/>
      <c r="H21" s="730"/>
    </row>
    <row r="22" spans="1:10" ht="24">
      <c r="A22" s="514" t="s">
        <v>856</v>
      </c>
      <c r="B22" s="728"/>
      <c r="C22" s="728"/>
      <c r="D22" s="728"/>
      <c r="E22" s="728"/>
      <c r="F22" s="507">
        <v>214</v>
      </c>
      <c r="G22" s="507"/>
      <c r="H22" s="730">
        <f>H23</f>
        <v>0</v>
      </c>
    </row>
    <row r="23" spans="1:10">
      <c r="A23" s="515" t="s">
        <v>646</v>
      </c>
      <c r="B23" s="732"/>
      <c r="C23" s="732"/>
      <c r="D23" s="732"/>
      <c r="E23" s="732"/>
      <c r="F23" s="508">
        <v>214</v>
      </c>
      <c r="G23" s="508">
        <v>831</v>
      </c>
      <c r="H23" s="264"/>
    </row>
    <row r="24" spans="1:10">
      <c r="A24" s="513" t="s">
        <v>857</v>
      </c>
      <c r="B24" s="726" t="s">
        <v>358</v>
      </c>
      <c r="C24" s="726" t="s">
        <v>368</v>
      </c>
      <c r="D24" s="726" t="s">
        <v>373</v>
      </c>
      <c r="E24" s="726" t="s">
        <v>375</v>
      </c>
      <c r="F24" s="506">
        <v>220</v>
      </c>
      <c r="G24" s="506"/>
      <c r="H24" s="727">
        <f>H25+H26+H28+H32+H36</f>
        <v>10</v>
      </c>
    </row>
    <row r="25" spans="1:10">
      <c r="A25" s="514" t="s">
        <v>576</v>
      </c>
      <c r="B25" s="728" t="s">
        <v>358</v>
      </c>
      <c r="C25" s="728" t="s">
        <v>368</v>
      </c>
      <c r="D25" s="728" t="s">
        <v>373</v>
      </c>
      <c r="E25" s="728" t="s">
        <v>640</v>
      </c>
      <c r="F25" s="507">
        <v>221</v>
      </c>
      <c r="G25" s="507"/>
      <c r="H25" s="730">
        <f ca="1">рДеп!J10</f>
        <v>5.5</v>
      </c>
      <c r="I25" s="574">
        <v>5500</v>
      </c>
    </row>
    <row r="26" spans="1:10">
      <c r="A26" s="514" t="s">
        <v>858</v>
      </c>
      <c r="B26" s="728"/>
      <c r="C26" s="728"/>
      <c r="D26" s="728"/>
      <c r="E26" s="728"/>
      <c r="F26" s="507">
        <v>222</v>
      </c>
      <c r="G26" s="507"/>
      <c r="H26" s="730">
        <f>H27</f>
        <v>0</v>
      </c>
    </row>
    <row r="27" spans="1:10">
      <c r="A27" s="515" t="s">
        <v>577</v>
      </c>
      <c r="B27" s="732"/>
      <c r="C27" s="732"/>
      <c r="D27" s="732"/>
      <c r="E27" s="732"/>
      <c r="F27" s="508">
        <v>222</v>
      </c>
      <c r="G27" s="508">
        <v>500</v>
      </c>
      <c r="H27" s="264"/>
    </row>
    <row r="28" spans="1:10">
      <c r="A28" s="514" t="s">
        <v>578</v>
      </c>
      <c r="B28" s="728"/>
      <c r="C28" s="728"/>
      <c r="D28" s="728"/>
      <c r="E28" s="728"/>
      <c r="F28" s="507">
        <v>223</v>
      </c>
      <c r="G28" s="507"/>
      <c r="H28" s="730">
        <f>SUM(H29:H31)</f>
        <v>0</v>
      </c>
    </row>
    <row r="29" spans="1:10">
      <c r="A29" s="515" t="s">
        <v>579</v>
      </c>
      <c r="B29" s="732"/>
      <c r="C29" s="732"/>
      <c r="D29" s="732"/>
      <c r="E29" s="732"/>
      <c r="F29" s="508">
        <v>223</v>
      </c>
      <c r="G29" s="508">
        <v>721</v>
      </c>
      <c r="H29" s="264"/>
    </row>
    <row r="30" spans="1:10">
      <c r="A30" s="515" t="s">
        <v>580</v>
      </c>
      <c r="B30" s="732"/>
      <c r="C30" s="732"/>
      <c r="D30" s="732"/>
      <c r="E30" s="732"/>
      <c r="F30" s="508">
        <v>223</v>
      </c>
      <c r="G30" s="508">
        <v>730</v>
      </c>
      <c r="H30" s="264"/>
    </row>
    <row r="31" spans="1:10">
      <c r="A31" s="515" t="s">
        <v>581</v>
      </c>
      <c r="B31" s="732"/>
      <c r="C31" s="732"/>
      <c r="D31" s="732"/>
      <c r="E31" s="732"/>
      <c r="F31" s="508">
        <v>223</v>
      </c>
      <c r="G31" s="508">
        <v>740</v>
      </c>
      <c r="H31" s="264"/>
    </row>
    <row r="32" spans="1:10">
      <c r="A32" s="514" t="s">
        <v>859</v>
      </c>
      <c r="B32" s="728"/>
      <c r="C32" s="728"/>
      <c r="D32" s="728"/>
      <c r="E32" s="728"/>
      <c r="F32" s="507">
        <v>225</v>
      </c>
      <c r="G32" s="507"/>
      <c r="H32" s="730">
        <f>SUM(H33:H35)</f>
        <v>0</v>
      </c>
    </row>
    <row r="33" spans="1:9">
      <c r="A33" s="437" t="s">
        <v>416</v>
      </c>
      <c r="B33" s="732"/>
      <c r="C33" s="732"/>
      <c r="D33" s="732"/>
      <c r="E33" s="732"/>
      <c r="F33" s="509">
        <v>225</v>
      </c>
      <c r="G33" s="509" t="s">
        <v>582</v>
      </c>
      <c r="H33" s="264"/>
    </row>
    <row r="34" spans="1:9" ht="24">
      <c r="A34" s="515" t="s">
        <v>860</v>
      </c>
      <c r="B34" s="732"/>
      <c r="C34" s="732"/>
      <c r="D34" s="732"/>
      <c r="E34" s="732"/>
      <c r="F34" s="508">
        <v>225</v>
      </c>
      <c r="G34" s="508" t="s">
        <v>583</v>
      </c>
      <c r="H34" s="264"/>
    </row>
    <row r="35" spans="1:9">
      <c r="A35" s="515" t="s">
        <v>861</v>
      </c>
      <c r="B35" s="728"/>
      <c r="C35" s="728"/>
      <c r="D35" s="728"/>
      <c r="E35" s="728"/>
      <c r="F35" s="508">
        <v>225</v>
      </c>
      <c r="G35" s="508" t="s">
        <v>872</v>
      </c>
      <c r="H35" s="264"/>
    </row>
    <row r="36" spans="1:9">
      <c r="A36" s="514" t="s">
        <v>785</v>
      </c>
      <c r="B36" s="728" t="s">
        <v>358</v>
      </c>
      <c r="C36" s="728" t="s">
        <v>368</v>
      </c>
      <c r="D36" s="728" t="s">
        <v>373</v>
      </c>
      <c r="E36" s="728" t="s">
        <v>640</v>
      </c>
      <c r="F36" s="507" t="s">
        <v>575</v>
      </c>
      <c r="G36" s="507"/>
      <c r="H36" s="730">
        <f>SUM(H37:H43)</f>
        <v>4.5</v>
      </c>
    </row>
    <row r="37" spans="1:9">
      <c r="A37" s="515" t="s">
        <v>584</v>
      </c>
      <c r="B37" s="732"/>
      <c r="C37" s="732"/>
      <c r="D37" s="732"/>
      <c r="E37" s="732"/>
      <c r="F37" s="508">
        <v>226</v>
      </c>
      <c r="G37" s="508" t="s">
        <v>585</v>
      </c>
      <c r="H37" s="264"/>
      <c r="I37" s="769"/>
    </row>
    <row r="38" spans="1:9">
      <c r="A38" s="515" t="s">
        <v>586</v>
      </c>
      <c r="B38" s="732" t="s">
        <v>358</v>
      </c>
      <c r="C38" s="732" t="s">
        <v>368</v>
      </c>
      <c r="D38" s="732" t="s">
        <v>373</v>
      </c>
      <c r="E38" s="732" t="s">
        <v>640</v>
      </c>
      <c r="F38" s="508">
        <v>226</v>
      </c>
      <c r="G38" s="508" t="s">
        <v>587</v>
      </c>
      <c r="H38" s="264">
        <f ca="1">рДеп!J17</f>
        <v>4.5</v>
      </c>
      <c r="I38" s="574">
        <v>4500</v>
      </c>
    </row>
    <row r="39" spans="1:9" ht="24">
      <c r="A39" s="515" t="s">
        <v>862</v>
      </c>
      <c r="B39" s="732"/>
      <c r="C39" s="732"/>
      <c r="D39" s="732"/>
      <c r="E39" s="732"/>
      <c r="F39" s="508">
        <v>226</v>
      </c>
      <c r="G39" s="508" t="s">
        <v>588</v>
      </c>
      <c r="H39" s="264"/>
    </row>
    <row r="40" spans="1:9">
      <c r="A40" s="515" t="s">
        <v>573</v>
      </c>
      <c r="B40" s="732"/>
      <c r="C40" s="732"/>
      <c r="D40" s="732"/>
      <c r="E40" s="732"/>
      <c r="F40" s="508">
        <v>226</v>
      </c>
      <c r="G40" s="508">
        <v>620</v>
      </c>
      <c r="H40" s="264"/>
    </row>
    <row r="41" spans="1:9">
      <c r="A41" s="515" t="s">
        <v>574</v>
      </c>
      <c r="B41" s="732"/>
      <c r="C41" s="732"/>
      <c r="D41" s="732"/>
      <c r="E41" s="732"/>
      <c r="F41" s="508">
        <v>226</v>
      </c>
      <c r="G41" s="508">
        <v>630</v>
      </c>
      <c r="H41" s="264"/>
    </row>
    <row r="42" spans="1:9">
      <c r="A42" s="515" t="s">
        <v>908</v>
      </c>
      <c r="B42" s="732"/>
      <c r="C42" s="732"/>
      <c r="D42" s="732"/>
      <c r="E42" s="732"/>
      <c r="F42" s="508">
        <v>226</v>
      </c>
      <c r="G42" s="508">
        <v>843</v>
      </c>
      <c r="H42" s="264"/>
    </row>
    <row r="43" spans="1:9">
      <c r="A43" s="437" t="s">
        <v>596</v>
      </c>
      <c r="B43" s="734"/>
      <c r="C43" s="734"/>
      <c r="D43" s="734"/>
      <c r="E43" s="734"/>
      <c r="F43" s="509">
        <v>226</v>
      </c>
      <c r="G43" s="509">
        <v>845</v>
      </c>
      <c r="H43" s="735"/>
    </row>
    <row r="44" spans="1:9" ht="25.5">
      <c r="A44" s="736" t="s">
        <v>848</v>
      </c>
      <c r="B44" s="737"/>
      <c r="C44" s="737"/>
      <c r="D44" s="737"/>
      <c r="E44" s="737"/>
      <c r="F44" s="506">
        <v>240</v>
      </c>
      <c r="G44" s="506"/>
      <c r="H44" s="738">
        <f>H45</f>
        <v>0</v>
      </c>
    </row>
    <row r="45" spans="1:9" ht="24">
      <c r="A45" s="739" t="s">
        <v>851</v>
      </c>
      <c r="B45" s="734"/>
      <c r="C45" s="734"/>
      <c r="D45" s="734"/>
      <c r="E45" s="734"/>
      <c r="F45" s="511">
        <v>244</v>
      </c>
      <c r="G45" s="511"/>
      <c r="H45" s="528"/>
    </row>
    <row r="46" spans="1:9">
      <c r="A46" s="513" t="s">
        <v>863</v>
      </c>
      <c r="B46" s="737"/>
      <c r="C46" s="737"/>
      <c r="D46" s="737"/>
      <c r="E46" s="737"/>
      <c r="F46" s="506" t="s">
        <v>589</v>
      </c>
      <c r="G46" s="506"/>
      <c r="H46" s="738">
        <f>H47</f>
        <v>0</v>
      </c>
    </row>
    <row r="47" spans="1:9">
      <c r="A47" s="514" t="s">
        <v>864</v>
      </c>
      <c r="B47" s="734"/>
      <c r="C47" s="734"/>
      <c r="D47" s="734"/>
      <c r="E47" s="734"/>
      <c r="F47" s="507">
        <v>251</v>
      </c>
      <c r="G47" s="507"/>
      <c r="H47" s="528"/>
    </row>
    <row r="48" spans="1:9">
      <c r="A48" s="513" t="s">
        <v>865</v>
      </c>
      <c r="B48" s="737"/>
      <c r="C48" s="737"/>
      <c r="D48" s="737"/>
      <c r="E48" s="737"/>
      <c r="F48" s="506" t="s">
        <v>591</v>
      </c>
      <c r="G48" s="506"/>
      <c r="H48" s="738">
        <f>H49+H51</f>
        <v>0</v>
      </c>
    </row>
    <row r="49" spans="1:8" ht="24">
      <c r="A49" s="514" t="s">
        <v>866</v>
      </c>
      <c r="B49" s="734"/>
      <c r="C49" s="734"/>
      <c r="D49" s="734"/>
      <c r="E49" s="734"/>
      <c r="F49" s="507">
        <v>264</v>
      </c>
      <c r="G49" s="507"/>
      <c r="H49" s="528">
        <f>H50</f>
        <v>0</v>
      </c>
    </row>
    <row r="50" spans="1:8">
      <c r="A50" s="515" t="s">
        <v>592</v>
      </c>
      <c r="B50" s="728"/>
      <c r="C50" s="728"/>
      <c r="D50" s="728"/>
      <c r="E50" s="728"/>
      <c r="F50" s="508">
        <v>264</v>
      </c>
      <c r="G50" s="508" t="s">
        <v>593</v>
      </c>
      <c r="H50" s="264"/>
    </row>
    <row r="51" spans="1:8" ht="24">
      <c r="A51" s="514" t="s">
        <v>607</v>
      </c>
      <c r="B51" s="728"/>
      <c r="C51" s="728"/>
      <c r="D51" s="728"/>
      <c r="E51" s="728"/>
      <c r="F51" s="507">
        <v>266</v>
      </c>
      <c r="G51" s="507"/>
      <c r="H51" s="730"/>
    </row>
    <row r="52" spans="1:8">
      <c r="A52" s="513" t="s">
        <v>594</v>
      </c>
      <c r="B52" s="737"/>
      <c r="C52" s="737"/>
      <c r="D52" s="737"/>
      <c r="E52" s="737"/>
      <c r="F52" s="506" t="s">
        <v>595</v>
      </c>
      <c r="G52" s="506"/>
      <c r="H52" s="738">
        <f>SUM(H53:H58)</f>
        <v>0</v>
      </c>
    </row>
    <row r="53" spans="1:8">
      <c r="A53" s="516" t="s">
        <v>604</v>
      </c>
      <c r="B53" s="734"/>
      <c r="C53" s="734"/>
      <c r="D53" s="734"/>
      <c r="E53" s="734"/>
      <c r="F53" s="510">
        <v>291</v>
      </c>
      <c r="G53" s="510"/>
      <c r="H53" s="528"/>
    </row>
    <row r="54" spans="1:8">
      <c r="A54" s="516" t="s">
        <v>605</v>
      </c>
      <c r="B54" s="728"/>
      <c r="C54" s="728"/>
      <c r="D54" s="728"/>
      <c r="E54" s="728"/>
      <c r="F54" s="510">
        <v>292</v>
      </c>
      <c r="G54" s="510"/>
      <c r="H54" s="730"/>
    </row>
    <row r="55" spans="1:8">
      <c r="A55" s="516" t="s">
        <v>606</v>
      </c>
      <c r="B55" s="728"/>
      <c r="C55" s="728"/>
      <c r="D55" s="728"/>
      <c r="E55" s="728"/>
      <c r="F55" s="510">
        <v>293</v>
      </c>
      <c r="G55" s="510"/>
      <c r="H55" s="730"/>
    </row>
    <row r="56" spans="1:8">
      <c r="A56" s="516" t="s">
        <v>877</v>
      </c>
      <c r="B56" s="728"/>
      <c r="C56" s="728"/>
      <c r="D56" s="728"/>
      <c r="E56" s="728"/>
      <c r="F56" s="510">
        <v>295</v>
      </c>
      <c r="G56" s="510"/>
      <c r="H56" s="730"/>
    </row>
    <row r="57" spans="1:8">
      <c r="A57" s="516" t="s">
        <v>867</v>
      </c>
      <c r="B57" s="728"/>
      <c r="C57" s="728"/>
      <c r="D57" s="728"/>
      <c r="E57" s="728"/>
      <c r="F57" s="510">
        <v>296</v>
      </c>
      <c r="G57" s="510"/>
      <c r="H57" s="730"/>
    </row>
    <row r="58" spans="1:8">
      <c r="A58" s="516" t="s">
        <v>877</v>
      </c>
      <c r="B58" s="728"/>
      <c r="C58" s="728"/>
      <c r="D58" s="728"/>
      <c r="E58" s="728"/>
      <c r="F58" s="510">
        <v>297</v>
      </c>
      <c r="G58" s="510"/>
      <c r="H58" s="730"/>
    </row>
    <row r="59" spans="1:8">
      <c r="A59" s="513" t="s">
        <v>868</v>
      </c>
      <c r="B59" s="737"/>
      <c r="C59" s="737"/>
      <c r="D59" s="737"/>
      <c r="E59" s="737"/>
      <c r="F59" s="506" t="s">
        <v>436</v>
      </c>
      <c r="G59" s="506"/>
      <c r="H59" s="738">
        <f>H60+H62+H63+H64</f>
        <v>0</v>
      </c>
    </row>
    <row r="60" spans="1:8">
      <c r="A60" s="514" t="s">
        <v>597</v>
      </c>
      <c r="B60" s="734"/>
      <c r="C60" s="734"/>
      <c r="D60" s="734"/>
      <c r="E60" s="734"/>
      <c r="F60" s="507" t="s">
        <v>598</v>
      </c>
      <c r="G60" s="507"/>
      <c r="H60" s="528">
        <f>H61</f>
        <v>0</v>
      </c>
    </row>
    <row r="61" spans="1:8">
      <c r="A61" s="515" t="s">
        <v>599</v>
      </c>
      <c r="B61" s="728"/>
      <c r="C61" s="728"/>
      <c r="D61" s="728"/>
      <c r="E61" s="728"/>
      <c r="F61" s="508">
        <v>310</v>
      </c>
      <c r="G61" s="508" t="s">
        <v>600</v>
      </c>
      <c r="H61" s="264"/>
    </row>
    <row r="62" spans="1:8">
      <c r="A62" s="517" t="s">
        <v>869</v>
      </c>
      <c r="B62" s="728"/>
      <c r="C62" s="728"/>
      <c r="D62" s="728"/>
      <c r="E62" s="728"/>
      <c r="F62" s="511">
        <v>343</v>
      </c>
      <c r="G62" s="511"/>
      <c r="H62" s="730"/>
    </row>
    <row r="63" spans="1:8" ht="24">
      <c r="A63" s="517" t="s">
        <v>870</v>
      </c>
      <c r="B63" s="728"/>
      <c r="C63" s="728"/>
      <c r="D63" s="728"/>
      <c r="E63" s="728"/>
      <c r="F63" s="511">
        <v>346</v>
      </c>
      <c r="G63" s="511"/>
      <c r="H63" s="730"/>
    </row>
    <row r="64" spans="1:8" ht="24">
      <c r="A64" s="517" t="s">
        <v>871</v>
      </c>
      <c r="B64" s="728"/>
      <c r="C64" s="728"/>
      <c r="D64" s="728"/>
      <c r="E64" s="728"/>
      <c r="F64" s="511">
        <v>349</v>
      </c>
      <c r="G64" s="511"/>
      <c r="H64" s="730"/>
    </row>
    <row r="65" spans="1:9">
      <c r="A65" s="517" t="s">
        <v>710</v>
      </c>
      <c r="B65" s="728" t="s">
        <v>358</v>
      </c>
      <c r="C65" s="728" t="s">
        <v>368</v>
      </c>
      <c r="D65" s="728" t="s">
        <v>373</v>
      </c>
      <c r="E65" s="728" t="s">
        <v>375</v>
      </c>
      <c r="F65" s="511"/>
      <c r="G65" s="511"/>
      <c r="H65" s="730">
        <f>H36+H25</f>
        <v>10</v>
      </c>
    </row>
    <row r="66" spans="1:9">
      <c r="A66" s="519" t="s">
        <v>602</v>
      </c>
      <c r="B66" s="728" t="s">
        <v>358</v>
      </c>
      <c r="C66" s="728" t="s">
        <v>368</v>
      </c>
      <c r="D66" s="728" t="s">
        <v>708</v>
      </c>
      <c r="E66" s="728" t="s">
        <v>570</v>
      </c>
      <c r="F66" s="518"/>
      <c r="G66" s="518"/>
      <c r="H66" s="730">
        <f>H59+H16</f>
        <v>10</v>
      </c>
      <c r="I66" s="574">
        <f>SUM(I16:I64)</f>
        <v>10000</v>
      </c>
    </row>
    <row r="67" spans="1:9">
      <c r="A67" s="742"/>
      <c r="B67" s="743"/>
      <c r="C67" s="743"/>
      <c r="D67" s="743"/>
      <c r="E67" s="743"/>
      <c r="F67" s="743"/>
      <c r="G67" s="743"/>
      <c r="H67" s="744"/>
    </row>
  </sheetData>
  <mergeCells count="23">
    <mergeCell ref="G10:H10"/>
    <mergeCell ref="E11:F11"/>
    <mergeCell ref="G11:H11"/>
    <mergeCell ref="A6:H6"/>
    <mergeCell ref="A7:H7"/>
    <mergeCell ref="E8:F8"/>
    <mergeCell ref="G8:H8"/>
    <mergeCell ref="A14:A15"/>
    <mergeCell ref="B14:G14"/>
    <mergeCell ref="H14:H15"/>
    <mergeCell ref="A10:D10"/>
    <mergeCell ref="A12:H12"/>
    <mergeCell ref="E10:F10"/>
    <mergeCell ref="D1:H1"/>
    <mergeCell ref="D2:H2"/>
    <mergeCell ref="D3:H3"/>
    <mergeCell ref="D4:E4"/>
    <mergeCell ref="F4:H4"/>
    <mergeCell ref="E9:F9"/>
    <mergeCell ref="G9:H9"/>
    <mergeCell ref="A9:D9"/>
    <mergeCell ref="D5:E5"/>
    <mergeCell ref="F5:H5"/>
  </mergeCells>
  <phoneticPr fontId="0" type="noConversion"/>
  <pageMargins left="0.78740157480314965" right="0.39370078740157483" top="0.59055118110236227" bottom="0.39370078740157483" header="0.31496062992125984" footer="0.31496062992125984"/>
  <pageSetup paperSize="9" scale="95" fitToHeight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P23"/>
  <sheetViews>
    <sheetView workbookViewId="0">
      <selection activeCell="L9" sqref="L9"/>
    </sheetView>
  </sheetViews>
  <sheetFormatPr defaultRowHeight="15"/>
  <cols>
    <col min="1" max="1" width="4" style="139" customWidth="1"/>
    <col min="2" max="2" width="10.5703125" style="139" customWidth="1"/>
    <col min="3" max="3" width="11.140625" style="139" customWidth="1"/>
    <col min="4" max="4" width="8.7109375" style="139" customWidth="1"/>
    <col min="5" max="5" width="8" style="139" customWidth="1"/>
    <col min="6" max="6" width="10.28515625" style="139" customWidth="1"/>
    <col min="7" max="7" width="7.140625" style="139" customWidth="1"/>
    <col min="8" max="9" width="6.85546875" style="139" customWidth="1"/>
    <col min="10" max="10" width="11.7109375" style="139" customWidth="1"/>
    <col min="11" max="11" width="11.5703125" style="139" customWidth="1"/>
    <col min="12" max="12" width="9.140625" style="139"/>
    <col min="13" max="13" width="10.5703125" style="139" bestFit="1" customWidth="1"/>
    <col min="14" max="14" width="9.140625" style="139"/>
    <col min="15" max="15" width="12.140625" style="139" customWidth="1"/>
    <col min="16" max="16384" width="9.140625" style="139"/>
  </cols>
  <sheetData>
    <row r="1" spans="1:13" ht="30.75" customHeight="1">
      <c r="A1" s="988" t="s">
        <v>367</v>
      </c>
      <c r="B1" s="988"/>
      <c r="C1" s="988"/>
      <c r="D1" s="988"/>
      <c r="E1" s="988"/>
      <c r="F1" s="988"/>
      <c r="G1" s="988"/>
      <c r="H1" s="988"/>
      <c r="I1" s="988"/>
      <c r="J1" s="988"/>
      <c r="K1" s="149"/>
    </row>
    <row r="3" spans="1:13" ht="15.75">
      <c r="A3" s="1003" t="s">
        <v>609</v>
      </c>
      <c r="B3" s="1003"/>
      <c r="C3" s="1003"/>
      <c r="D3" s="1003"/>
      <c r="E3" s="1003"/>
      <c r="F3" s="1003"/>
      <c r="G3" s="1003"/>
      <c r="H3" s="1003"/>
      <c r="I3" s="1003"/>
      <c r="J3" s="1003"/>
      <c r="K3" s="187"/>
    </row>
    <row r="4" spans="1:13" ht="15" customHeight="1">
      <c r="A4" s="1021" t="str">
        <f ca="1">'СВОД смет'!A7:H7</f>
        <v>на 2021 год</v>
      </c>
      <c r="B4" s="1021"/>
      <c r="C4" s="1021"/>
      <c r="D4" s="1021"/>
      <c r="E4" s="1021"/>
      <c r="F4" s="1021"/>
      <c r="G4" s="1021"/>
      <c r="H4" s="1021"/>
      <c r="I4" s="1021"/>
      <c r="J4" s="1021"/>
      <c r="K4" s="188"/>
    </row>
    <row r="6" spans="1:13">
      <c r="A6" s="994" t="s">
        <v>623</v>
      </c>
      <c r="B6" s="994"/>
      <c r="C6" s="994"/>
      <c r="D6" s="994"/>
      <c r="E6" s="994"/>
      <c r="F6" s="994"/>
      <c r="G6" s="994"/>
      <c r="H6" s="994"/>
      <c r="I6" s="994"/>
      <c r="J6" s="994"/>
      <c r="K6" s="169"/>
    </row>
    <row r="7" spans="1:13" ht="24" customHeight="1">
      <c r="A7" s="157" t="s">
        <v>483</v>
      </c>
      <c r="B7" s="1007" t="s">
        <v>715</v>
      </c>
      <c r="C7" s="1007"/>
      <c r="D7" s="155" t="s">
        <v>568</v>
      </c>
      <c r="E7" s="156" t="s">
        <v>614</v>
      </c>
      <c r="F7" s="157" t="s">
        <v>624</v>
      </c>
      <c r="G7" s="1026" t="s">
        <v>625</v>
      </c>
      <c r="H7" s="1027"/>
      <c r="I7" s="179" t="s">
        <v>636</v>
      </c>
      <c r="J7" s="157" t="s">
        <v>626</v>
      </c>
    </row>
    <row r="8" spans="1:13">
      <c r="A8" s="159">
        <v>1</v>
      </c>
      <c r="B8" s="1009">
        <v>2</v>
      </c>
      <c r="C8" s="1009"/>
      <c r="D8" s="159">
        <v>3</v>
      </c>
      <c r="E8" s="159">
        <v>4</v>
      </c>
      <c r="F8" s="159">
        <v>5</v>
      </c>
      <c r="G8" s="1017">
        <v>6</v>
      </c>
      <c r="H8" s="1018"/>
      <c r="I8" s="180">
        <v>7</v>
      </c>
      <c r="J8" s="160">
        <v>8</v>
      </c>
    </row>
    <row r="9" spans="1:13" ht="54" customHeight="1">
      <c r="A9" s="160">
        <v>1</v>
      </c>
      <c r="B9" s="1010" t="s">
        <v>627</v>
      </c>
      <c r="C9" s="1010"/>
      <c r="D9" s="157">
        <v>221</v>
      </c>
      <c r="E9" s="154"/>
      <c r="F9" s="229" t="s">
        <v>928</v>
      </c>
      <c r="G9" s="1019">
        <v>5500</v>
      </c>
      <c r="H9" s="1020"/>
      <c r="I9" s="418">
        <v>1.0369999999999999</v>
      </c>
      <c r="J9" s="207">
        <f>ROUND((G9)/1000,1)</f>
        <v>5.5</v>
      </c>
      <c r="K9" s="170"/>
      <c r="M9" s="171"/>
    </row>
    <row r="10" spans="1:13">
      <c r="A10" s="996" t="s">
        <v>628</v>
      </c>
      <c r="B10" s="997"/>
      <c r="C10" s="997"/>
      <c r="D10" s="997"/>
      <c r="E10" s="997"/>
      <c r="F10" s="997"/>
      <c r="G10" s="997"/>
      <c r="H10" s="997"/>
      <c r="I10" s="1022"/>
      <c r="J10" s="258">
        <f>SUM(J9:J9)</f>
        <v>5.5</v>
      </c>
      <c r="M10" s="172"/>
    </row>
    <row r="11" spans="1:13">
      <c r="M11" s="172"/>
    </row>
    <row r="12" spans="1:13">
      <c r="A12" s="1008" t="s">
        <v>629</v>
      </c>
      <c r="B12" s="1008"/>
      <c r="C12" s="1008"/>
      <c r="D12" s="1008"/>
      <c r="E12" s="1008"/>
      <c r="F12" s="1008"/>
      <c r="G12" s="1008"/>
      <c r="H12" s="1008"/>
      <c r="I12" s="1008"/>
      <c r="J12" s="1008"/>
      <c r="K12" s="181"/>
      <c r="M12" s="172"/>
    </row>
    <row r="13" spans="1:13" ht="24" customHeight="1">
      <c r="A13" s="157" t="s">
        <v>483</v>
      </c>
      <c r="B13" s="1007" t="s">
        <v>715</v>
      </c>
      <c r="C13" s="1007"/>
      <c r="D13" s="155" t="s">
        <v>568</v>
      </c>
      <c r="E13" s="156" t="s">
        <v>614</v>
      </c>
      <c r="F13" s="1007" t="s">
        <v>637</v>
      </c>
      <c r="G13" s="1007"/>
      <c r="H13" s="1007" t="s">
        <v>625</v>
      </c>
      <c r="I13" s="1007"/>
      <c r="J13" s="157" t="s">
        <v>626</v>
      </c>
      <c r="K13" s="140"/>
      <c r="M13" s="172"/>
    </row>
    <row r="14" spans="1:13">
      <c r="A14" s="159">
        <v>1</v>
      </c>
      <c r="B14" s="1009">
        <v>2</v>
      </c>
      <c r="C14" s="1009"/>
      <c r="D14" s="159">
        <v>3</v>
      </c>
      <c r="E14" s="159">
        <v>4</v>
      </c>
      <c r="F14" s="1009">
        <v>5</v>
      </c>
      <c r="G14" s="1009"/>
      <c r="H14" s="1023">
        <v>6</v>
      </c>
      <c r="I14" s="1023"/>
      <c r="J14" s="159">
        <v>7</v>
      </c>
      <c r="M14" s="172"/>
    </row>
    <row r="15" spans="1:13" ht="37.5" customHeight="1">
      <c r="A15" s="160">
        <v>1</v>
      </c>
      <c r="B15" s="1010" t="s">
        <v>631</v>
      </c>
      <c r="C15" s="1010"/>
      <c r="D15" s="157">
        <v>226</v>
      </c>
      <c r="E15" s="218" t="s">
        <v>587</v>
      </c>
      <c r="F15" s="1014">
        <v>1</v>
      </c>
      <c r="G15" s="1014"/>
      <c r="H15" s="1024">
        <v>4500</v>
      </c>
      <c r="I15" s="1025"/>
      <c r="J15" s="264">
        <f>ROUND(H15/1000,1)</f>
        <v>4.5</v>
      </c>
      <c r="L15" s="170"/>
      <c r="M15" s="171"/>
    </row>
    <row r="16" spans="1:13" ht="64.5" hidden="1" customHeight="1">
      <c r="A16" s="160">
        <v>2</v>
      </c>
      <c r="B16" s="1005" t="s">
        <v>632</v>
      </c>
      <c r="C16" s="1006"/>
      <c r="D16" s="175">
        <v>226</v>
      </c>
      <c r="E16" s="177" t="s">
        <v>587</v>
      </c>
      <c r="F16" s="1015">
        <v>5</v>
      </c>
      <c r="G16" s="1016"/>
      <c r="H16" s="1012">
        <v>1000</v>
      </c>
      <c r="I16" s="1013"/>
      <c r="J16" s="173"/>
      <c r="L16" s="170"/>
      <c r="M16" s="171"/>
    </row>
    <row r="17" spans="1:16">
      <c r="A17" s="1011" t="s">
        <v>633</v>
      </c>
      <c r="B17" s="1011"/>
      <c r="C17" s="1011"/>
      <c r="D17" s="1011"/>
      <c r="E17" s="1011"/>
      <c r="F17" s="1011"/>
      <c r="G17" s="1011"/>
      <c r="H17" s="1011"/>
      <c r="I17" s="1011"/>
      <c r="J17" s="258">
        <f>SUM(J15:J16)</f>
        <v>4.5</v>
      </c>
      <c r="M17" s="140"/>
      <c r="N17" s="140"/>
      <c r="O17" s="140"/>
      <c r="P17" s="140"/>
    </row>
    <row r="18" spans="1:16">
      <c r="M18" s="140"/>
      <c r="N18" s="140"/>
      <c r="O18" s="140"/>
      <c r="P18" s="140"/>
    </row>
    <row r="19" spans="1:16">
      <c r="M19" s="140"/>
      <c r="N19" s="140"/>
      <c r="O19" s="176"/>
      <c r="P19" s="174"/>
    </row>
    <row r="20" spans="1:16">
      <c r="B20" s="992" t="s">
        <v>621</v>
      </c>
      <c r="C20" s="992"/>
      <c r="D20" s="992"/>
      <c r="E20" s="162"/>
      <c r="F20" s="993"/>
      <c r="G20" s="993"/>
      <c r="H20" s="162"/>
      <c r="I20" s="993" t="str">
        <f ca="1">рВДЛ!G29</f>
        <v>М.В. Златова</v>
      </c>
      <c r="J20" s="993"/>
      <c r="M20" s="140"/>
      <c r="N20" s="140"/>
      <c r="O20" s="140"/>
      <c r="P20" s="140"/>
    </row>
    <row r="21" spans="1:16">
      <c r="B21" s="1001" t="s">
        <v>554</v>
      </c>
      <c r="C21" s="1001"/>
      <c r="D21" s="1001"/>
      <c r="E21" s="163"/>
      <c r="F21" s="1001" t="s">
        <v>555</v>
      </c>
      <c r="G21" s="1001"/>
      <c r="H21" s="163"/>
      <c r="I21" s="1002" t="s">
        <v>556</v>
      </c>
      <c r="J21" s="1002"/>
    </row>
    <row r="22" spans="1:16">
      <c r="B22" s="992" t="str">
        <f ca="1">рВДЛ!A31</f>
        <v>Исполнитель: финансист</v>
      </c>
      <c r="C22" s="992"/>
      <c r="D22" s="992"/>
      <c r="E22" s="162"/>
      <c r="F22" s="993"/>
      <c r="G22" s="993"/>
      <c r="H22" s="162"/>
      <c r="I22" s="993" t="str">
        <f ca="1">рВДЛ!G31</f>
        <v>Е.Н. Рыбалка</v>
      </c>
      <c r="J22" s="993"/>
    </row>
    <row r="23" spans="1:16">
      <c r="B23" s="1001" t="s">
        <v>554</v>
      </c>
      <c r="C23" s="1001"/>
      <c r="D23" s="1001"/>
      <c r="E23" s="163"/>
      <c r="F23" s="1001" t="s">
        <v>555</v>
      </c>
      <c r="G23" s="1001"/>
      <c r="H23" s="163"/>
      <c r="I23" s="1002" t="s">
        <v>556</v>
      </c>
      <c r="J23" s="1002"/>
    </row>
  </sheetData>
  <mergeCells count="37">
    <mergeCell ref="A6:J6"/>
    <mergeCell ref="B7:C7"/>
    <mergeCell ref="G7:H7"/>
    <mergeCell ref="B8:C8"/>
    <mergeCell ref="A1:J1"/>
    <mergeCell ref="F16:G16"/>
    <mergeCell ref="G8:H8"/>
    <mergeCell ref="B9:C9"/>
    <mergeCell ref="G9:H9"/>
    <mergeCell ref="A3:J3"/>
    <mergeCell ref="A4:J4"/>
    <mergeCell ref="A10:I10"/>
    <mergeCell ref="H14:I14"/>
    <mergeCell ref="H15:I15"/>
    <mergeCell ref="A12:J12"/>
    <mergeCell ref="B14:C14"/>
    <mergeCell ref="B15:C15"/>
    <mergeCell ref="A17:I17"/>
    <mergeCell ref="H13:I13"/>
    <mergeCell ref="H16:I16"/>
    <mergeCell ref="F13:G13"/>
    <mergeCell ref="F14:G14"/>
    <mergeCell ref="F15:G15"/>
    <mergeCell ref="B13:C13"/>
    <mergeCell ref="B21:D21"/>
    <mergeCell ref="F21:G21"/>
    <mergeCell ref="I21:J21"/>
    <mergeCell ref="B22:D22"/>
    <mergeCell ref="F22:G22"/>
    <mergeCell ref="I22:J22"/>
    <mergeCell ref="B20:D20"/>
    <mergeCell ref="F20:G20"/>
    <mergeCell ref="I20:J20"/>
    <mergeCell ref="B16:C16"/>
    <mergeCell ref="B23:D23"/>
    <mergeCell ref="F23:G23"/>
    <mergeCell ref="I23:J23"/>
  </mergeCells>
  <phoneticPr fontId="0" type="noConversion"/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45</vt:i4>
      </vt:variant>
      <vt:variant>
        <vt:lpstr>Именованные диапазоны</vt:lpstr>
      </vt:variant>
      <vt:variant>
        <vt:i4>6</vt:i4>
      </vt:variant>
    </vt:vector>
  </HeadingPairs>
  <TitlesOfParts>
    <vt:vector size="51" baseType="lpstr">
      <vt:lpstr>Доходы</vt:lpstr>
      <vt:lpstr>Расходы</vt:lpstr>
      <vt:lpstr>Дефицит</vt:lpstr>
      <vt:lpstr>РасчетДоходов</vt:lpstr>
      <vt:lpstr>СВОД смет</vt:lpstr>
      <vt:lpstr>сВДЛ</vt:lpstr>
      <vt:lpstr>рВДЛ</vt:lpstr>
      <vt:lpstr>сДеп</vt:lpstr>
      <vt:lpstr>рДеп</vt:lpstr>
      <vt:lpstr>сКомУсл</vt:lpstr>
      <vt:lpstr>рКомУсл</vt:lpstr>
      <vt:lpstr>сЗП</vt:lpstr>
      <vt:lpstr>рЗП</vt:lpstr>
      <vt:lpstr>сАУП</vt:lpstr>
      <vt:lpstr>рАУП</vt:lpstr>
      <vt:lpstr>сКСП</vt:lpstr>
      <vt:lpstr>рКСП</vt:lpstr>
      <vt:lpstr>сВыборы</vt:lpstr>
      <vt:lpstr>рВыборы</vt:lpstr>
      <vt:lpstr>сРезерв</vt:lpstr>
      <vt:lpstr>рРезерв</vt:lpstr>
      <vt:lpstr>сДругие</vt:lpstr>
      <vt:lpstr>рДругие</vt:lpstr>
      <vt:lpstr>сПВУ</vt:lpstr>
      <vt:lpstr>рПВУ</vt:lpstr>
      <vt:lpstr>сГОиЧС_1</vt:lpstr>
      <vt:lpstr>сГОиЧС_2</vt:lpstr>
      <vt:lpstr>сГОиЧС_3</vt:lpstr>
      <vt:lpstr>рГОиЧС</vt:lpstr>
      <vt:lpstr>сДороги</vt:lpstr>
      <vt:lpstr>рДороги</vt:lpstr>
      <vt:lpstr>сНацЭкон</vt:lpstr>
      <vt:lpstr>рНацЭкон</vt:lpstr>
      <vt:lpstr>сЖилфонд</vt:lpstr>
      <vt:lpstr>рЖилфонд</vt:lpstr>
      <vt:lpstr>сКомХоз</vt:lpstr>
      <vt:lpstr>рКомХоз</vt:lpstr>
      <vt:lpstr>сБлагоуст</vt:lpstr>
      <vt:lpstr>рБлагоус</vt:lpstr>
      <vt:lpstr>сРитуал</vt:lpstr>
      <vt:lpstr>рРитуал</vt:lpstr>
      <vt:lpstr>сПенс</vt:lpstr>
      <vt:lpstr>рПенс</vt:lpstr>
      <vt:lpstr>сНадгроб</vt:lpstr>
      <vt:lpstr>рНадгроб</vt:lpstr>
      <vt:lpstr>Дефицит!Область_печати</vt:lpstr>
      <vt:lpstr>Доходы!Область_печати</vt:lpstr>
      <vt:lpstr>Расходы!Область_печати</vt:lpstr>
      <vt:lpstr>сАУП!Область_печати</vt:lpstr>
      <vt:lpstr>'СВОД смет'!Область_печати</vt:lpstr>
      <vt:lpstr>сЗП!Область_печати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2020-12-28T11:09:54Z</dcterms:modified>
</cp:coreProperties>
</file>