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625" windowWidth="16695" windowHeight="9450" tabRatio="917" firstSheet="5" activeTab="28"/>
  </bookViews>
  <sheets>
    <sheet name="Доходы" sheetId="1" r:id="rId1"/>
    <sheet name="Расходы" sheetId="2" r:id="rId2"/>
    <sheet name="Дефицит" sheetId="3" r:id="rId3"/>
    <sheet name="РасчетДоходов" sheetId="4" r:id="rId4"/>
    <sheet name="СВОД смет" sheetId="40" r:id="rId5"/>
    <sheet name="сВДЛ" sheetId="41" r:id="rId6"/>
    <sheet name="рВДЛ" sheetId="7" r:id="rId7"/>
    <sheet name="сДеп" sheetId="42" r:id="rId8"/>
    <sheet name="рДеп" sheetId="9" r:id="rId9"/>
    <sheet name="сКомУсл" sheetId="59" r:id="rId10"/>
    <sheet name="рКомУсл" sheetId="60" r:id="rId11"/>
    <sheet name="сЗП" sheetId="62" r:id="rId12"/>
    <sheet name="рЗП" sheetId="61" r:id="rId13"/>
    <sheet name="сАУП" sheetId="43" r:id="rId14"/>
    <sheet name="рАУП" sheetId="11" r:id="rId15"/>
    <sheet name="сКСП" sheetId="44" r:id="rId16"/>
    <sheet name="рКСП" sheetId="13" r:id="rId17"/>
    <sheet name="сВыборы" sheetId="57" r:id="rId18"/>
    <sheet name="рВыборы" sheetId="58" r:id="rId19"/>
    <sheet name="сРезерв" sheetId="45" r:id="rId20"/>
    <sheet name="рРезерв" sheetId="15" r:id="rId21"/>
    <sheet name="сДругие" sheetId="46" r:id="rId22"/>
    <sheet name="рДругие" sheetId="17" r:id="rId23"/>
    <sheet name="сПВУ" sheetId="47" r:id="rId24"/>
    <sheet name="рПВУ" sheetId="19" r:id="rId25"/>
    <sheet name="сГОиЧС" sheetId="49" r:id="rId26"/>
    <sheet name="рГОиЧС" sheetId="21" r:id="rId27"/>
    <sheet name="сДороги" sheetId="48" r:id="rId28"/>
    <sheet name="рДороги" sheetId="23" r:id="rId29"/>
    <sheet name="сНацЭкон" sheetId="50" r:id="rId30"/>
    <sheet name="рНацЭкон" sheetId="27" r:id="rId31"/>
    <sheet name="сЖилфонд" sheetId="51" r:id="rId32"/>
    <sheet name="рЖилфонд" sheetId="29" r:id="rId33"/>
    <sheet name="сКомХоз" sheetId="52" r:id="rId34"/>
    <sheet name="рКомХоз" sheetId="31" r:id="rId35"/>
    <sheet name="сБлагоуст" sheetId="53" r:id="rId36"/>
    <sheet name="рБлагоус" sheetId="33" r:id="rId37"/>
    <sheet name="сРитуал" sheetId="54" r:id="rId38"/>
    <sheet name="рРитуал" sheetId="35" r:id="rId39"/>
    <sheet name="сПенс" sheetId="55" r:id="rId40"/>
    <sheet name="рПенс" sheetId="37" r:id="rId41"/>
    <sheet name="сНадгроб" sheetId="56" r:id="rId42"/>
    <sheet name="рНадгроб" sheetId="39" r:id="rId43"/>
  </sheets>
  <externalReferences>
    <externalReference r:id="rId44"/>
  </externalReferences>
  <definedNames>
    <definedName name="_xlnm.Print_Area" localSheetId="2">Дефицит!$A$1:$E$17</definedName>
    <definedName name="_xlnm.Print_Area" localSheetId="0">Доходы!$A$1:$E$97</definedName>
    <definedName name="_xlnm.Print_Area" localSheetId="1">Расходы!$A$1:$I$120</definedName>
    <definedName name="_xlnm.Print_Area" localSheetId="13">сАУП!$A$1:$H$67</definedName>
    <definedName name="_xlnm.Print_Area" localSheetId="35">сБлагоуст!#REF!</definedName>
    <definedName name="_xlnm.Print_Area" localSheetId="5">сВДЛ!#REF!</definedName>
    <definedName name="_xlnm.Print_Area" localSheetId="4">'СВОД смет'!$A$1:$H$66</definedName>
    <definedName name="_xlnm.Print_Area" localSheetId="17">сВыборы!#REF!</definedName>
    <definedName name="_xlnm.Print_Area" localSheetId="25">сГОиЧС!#REF!</definedName>
    <definedName name="_xlnm.Print_Area" localSheetId="7">сДеп!#REF!</definedName>
    <definedName name="_xlnm.Print_Area" localSheetId="27">сДороги!#REF!</definedName>
    <definedName name="_xlnm.Print_Area" localSheetId="21">сДругие!#REF!</definedName>
    <definedName name="_xlnm.Print_Area" localSheetId="31">сЖилфонд!#REF!</definedName>
    <definedName name="_xlnm.Print_Area" localSheetId="11">сЗП!$A$1:$H$66</definedName>
    <definedName name="_xlnm.Print_Area" localSheetId="9">сКомУсл!#REF!</definedName>
    <definedName name="_xlnm.Print_Area" localSheetId="33">сКомХоз!#REF!</definedName>
    <definedName name="_xlnm.Print_Area" localSheetId="15">сКСП!#REF!</definedName>
    <definedName name="_xlnm.Print_Area" localSheetId="41">сНадгроб!#REF!</definedName>
    <definedName name="_xlnm.Print_Area" localSheetId="29">сНацЭкон!#REF!</definedName>
    <definedName name="_xlnm.Print_Area" localSheetId="23">сПВУ!#REF!</definedName>
    <definedName name="_xlnm.Print_Area" localSheetId="39">сПенс!#REF!</definedName>
    <definedName name="_xlnm.Print_Area" localSheetId="19">сРезерв!#REF!</definedName>
    <definedName name="_xlnm.Print_Area" localSheetId="37">сРитуал!#REF!</definedName>
  </definedNames>
  <calcPr calcId="144525"/>
</workbook>
</file>

<file path=xl/calcChain.xml><?xml version="1.0" encoding="utf-8"?>
<calcChain xmlns="http://schemas.openxmlformats.org/spreadsheetml/2006/main">
  <c r="F18" i="23" l="1"/>
  <c r="I60" i="11" l="1"/>
  <c r="G94" i="11" l="1"/>
  <c r="F31" i="60" l="1"/>
  <c r="H31" i="60"/>
  <c r="G87" i="11" l="1"/>
  <c r="G103" i="2" l="1"/>
  <c r="G100" i="2"/>
  <c r="H70" i="61" l="1"/>
  <c r="G17" i="29"/>
  <c r="J32" i="2" l="1"/>
  <c r="H51" i="11"/>
  <c r="J14" i="2"/>
  <c r="I36" i="33"/>
  <c r="J36" i="33"/>
  <c r="J37" i="33" s="1"/>
  <c r="I37" i="33"/>
  <c r="G15" i="29"/>
  <c r="G14" i="29"/>
  <c r="H72" i="17"/>
  <c r="H73" i="17"/>
  <c r="H71" i="17"/>
  <c r="I63" i="17"/>
  <c r="G71" i="17"/>
  <c r="H63" i="17"/>
  <c r="G79" i="11"/>
  <c r="E32" i="17" l="1"/>
  <c r="E31" i="17"/>
  <c r="E30" i="17"/>
  <c r="E29" i="17"/>
  <c r="E28" i="17"/>
  <c r="E27" i="17"/>
  <c r="E26" i="17"/>
  <c r="Q26" i="17"/>
  <c r="Q27" i="17"/>
  <c r="H67" i="53"/>
  <c r="I44" i="33"/>
  <c r="J44" i="33" s="1"/>
  <c r="J45" i="33" s="1"/>
  <c r="H68" i="53" s="1"/>
  <c r="G108" i="2" s="1"/>
  <c r="H48" i="33"/>
  <c r="B52" i="33"/>
  <c r="H50" i="33"/>
  <c r="E28" i="60"/>
  <c r="E29" i="60"/>
  <c r="E27" i="60"/>
  <c r="E26" i="60"/>
  <c r="E32" i="60"/>
  <c r="E31" i="60"/>
  <c r="I45" i="33" l="1"/>
  <c r="E30" i="60" l="1"/>
  <c r="Q27" i="60"/>
  <c r="Q26" i="60"/>
  <c r="G10" i="29"/>
  <c r="G18" i="29" s="1"/>
  <c r="G16" i="29"/>
  <c r="H67" i="11"/>
  <c r="H33" i="11"/>
  <c r="H31" i="11"/>
  <c r="H28" i="7" l="1"/>
  <c r="F17" i="27" l="1"/>
  <c r="H12" i="60"/>
  <c r="F47" i="61" l="1"/>
  <c r="N9" i="7" l="1"/>
  <c r="H15" i="19" l="1"/>
  <c r="I55" i="61"/>
  <c r="J7" i="1" l="1"/>
  <c r="C65" i="1"/>
  <c r="C39" i="1"/>
  <c r="I106" i="2" l="1"/>
  <c r="H106" i="2"/>
  <c r="E20" i="11"/>
  <c r="F12" i="11" l="1"/>
  <c r="H63" i="61"/>
  <c r="F55" i="61"/>
  <c r="F20" i="7" l="1"/>
  <c r="D37" i="1"/>
  <c r="D36" i="1" s="1"/>
  <c r="D38" i="1"/>
  <c r="E38" i="1"/>
  <c r="E37" i="1" s="1"/>
  <c r="E36" i="1" s="1"/>
  <c r="C38" i="1"/>
  <c r="C37" i="1"/>
  <c r="G23" i="29" l="1"/>
  <c r="G11" i="29"/>
  <c r="G24" i="29"/>
  <c r="F80" i="11" l="1"/>
  <c r="F53" i="11"/>
  <c r="F31" i="11"/>
  <c r="F32" i="11"/>
  <c r="H62" i="61" l="1"/>
  <c r="F63" i="61"/>
  <c r="C82" i="1" l="1"/>
  <c r="I33" i="11"/>
  <c r="F33" i="11"/>
  <c r="H10" i="27"/>
  <c r="G10" i="27"/>
  <c r="F20" i="33"/>
  <c r="G20" i="7" l="1"/>
  <c r="F9" i="7"/>
  <c r="G9" i="7"/>
  <c r="G12" i="7" s="1"/>
  <c r="G107" i="2" l="1"/>
  <c r="G106" i="2" s="1"/>
  <c r="F12" i="7"/>
  <c r="G81" i="11" l="1"/>
  <c r="H81" i="11" s="1"/>
  <c r="H74" i="17"/>
  <c r="G74" i="17"/>
  <c r="G73" i="17"/>
  <c r="E33" i="17"/>
  <c r="M27" i="17"/>
  <c r="Q25" i="17"/>
  <c r="P25" i="17"/>
  <c r="O25" i="17"/>
  <c r="N25" i="17"/>
  <c r="F32" i="17"/>
  <c r="F31" i="17"/>
  <c r="F30" i="17"/>
  <c r="F29" i="17"/>
  <c r="F28" i="17"/>
  <c r="H31" i="46" s="1"/>
  <c r="F27" i="17"/>
  <c r="H30" i="46" s="1"/>
  <c r="F26" i="17"/>
  <c r="F33" i="17" l="1"/>
  <c r="H29" i="46"/>
  <c r="M25" i="17"/>
  <c r="M26" i="17"/>
  <c r="F34" i="17"/>
  <c r="E34" i="17"/>
  <c r="F144" i="4" l="1"/>
  <c r="C144" i="4" l="1"/>
  <c r="F145" i="4" s="1"/>
  <c r="E145" i="4"/>
  <c r="G145" i="4"/>
  <c r="H145" i="4"/>
  <c r="L145" i="4"/>
  <c r="N144" i="4" l="1"/>
  <c r="C21" i="1" l="1"/>
  <c r="G72" i="17" l="1"/>
  <c r="E65" i="1" l="1"/>
  <c r="D65" i="1"/>
  <c r="H104" i="2" l="1"/>
  <c r="H103" i="2" s="1"/>
  <c r="I104" i="2"/>
  <c r="I103" i="2" s="1"/>
  <c r="F10" i="23" l="1"/>
  <c r="I10" i="33"/>
  <c r="I28" i="33"/>
  <c r="I29" i="33" s="1"/>
  <c r="F51" i="11"/>
  <c r="H63" i="11"/>
  <c r="I63" i="11" s="1"/>
  <c r="H61" i="11"/>
  <c r="I61" i="11" s="1"/>
  <c r="H62" i="11"/>
  <c r="I62" i="11" s="1"/>
  <c r="O25" i="60"/>
  <c r="P25" i="60"/>
  <c r="Q25" i="60"/>
  <c r="N25" i="60"/>
  <c r="J28" i="33" l="1"/>
  <c r="J29" i="33" s="1"/>
  <c r="H66" i="53" s="1"/>
  <c r="G105" i="2" s="1"/>
  <c r="G104" i="2" s="1"/>
  <c r="F28" i="60" l="1"/>
  <c r="E86" i="1" l="1"/>
  <c r="D86" i="1"/>
  <c r="C86" i="1"/>
  <c r="E81" i="1"/>
  <c r="D81" i="1"/>
  <c r="C81" i="1"/>
  <c r="C77" i="1"/>
  <c r="D61" i="4"/>
  <c r="G13" i="29" l="1"/>
  <c r="G12" i="29"/>
  <c r="G25" i="29"/>
  <c r="E50" i="1" l="1"/>
  <c r="D50" i="1"/>
  <c r="C50" i="1"/>
  <c r="E52" i="1"/>
  <c r="D52" i="1"/>
  <c r="C52" i="1"/>
  <c r="F22" i="7" l="1"/>
  <c r="G10" i="7"/>
  <c r="G21" i="7" l="1"/>
  <c r="G11" i="7"/>
  <c r="L53" i="4" l="1"/>
  <c r="M53" i="4"/>
  <c r="K53" i="4"/>
  <c r="H40" i="11" l="1"/>
  <c r="I40" i="11" s="1"/>
  <c r="D52" i="4"/>
  <c r="D51" i="4"/>
  <c r="D50" i="4"/>
  <c r="D49" i="4"/>
  <c r="M27" i="60" l="1"/>
  <c r="M26" i="60"/>
  <c r="H23" i="29" l="1"/>
  <c r="F27" i="60"/>
  <c r="H10" i="29" l="1"/>
  <c r="G126" i="2" l="1"/>
  <c r="G124" i="2"/>
  <c r="G120" i="2"/>
  <c r="G114" i="2"/>
  <c r="G112" i="2"/>
  <c r="G95" i="2"/>
  <c r="G69" i="2"/>
  <c r="H58" i="2"/>
  <c r="I58" i="2"/>
  <c r="H56" i="2"/>
  <c r="I56" i="2"/>
  <c r="G44" i="2"/>
  <c r="G36" i="2"/>
  <c r="G22" i="2"/>
  <c r="I66" i="45"/>
  <c r="I64" i="40"/>
  <c r="I63" i="40"/>
  <c r="I62" i="40"/>
  <c r="I61" i="40"/>
  <c r="I60" i="40"/>
  <c r="I59" i="40"/>
  <c r="I58" i="40"/>
  <c r="I57" i="40"/>
  <c r="I56" i="40"/>
  <c r="I55" i="40"/>
  <c r="I54" i="40"/>
  <c r="I53" i="40"/>
  <c r="I52" i="40"/>
  <c r="I51" i="40"/>
  <c r="I50" i="40"/>
  <c r="I49" i="40"/>
  <c r="I48" i="40"/>
  <c r="I47" i="40"/>
  <c r="I46" i="40"/>
  <c r="I45" i="40"/>
  <c r="I44" i="40"/>
  <c r="I43" i="40"/>
  <c r="I42" i="40"/>
  <c r="I41" i="40"/>
  <c r="I40" i="40"/>
  <c r="I39" i="40"/>
  <c r="I38" i="40"/>
  <c r="I37" i="40"/>
  <c r="I36" i="40"/>
  <c r="I35" i="40"/>
  <c r="I34" i="40"/>
  <c r="I33" i="40"/>
  <c r="I32" i="40"/>
  <c r="I31" i="40"/>
  <c r="I30" i="40"/>
  <c r="I29" i="40"/>
  <c r="I28" i="40"/>
  <c r="I27" i="40"/>
  <c r="I26" i="40"/>
  <c r="I25" i="40"/>
  <c r="I24" i="40"/>
  <c r="I23" i="40"/>
  <c r="I22" i="40"/>
  <c r="I21" i="40"/>
  <c r="I20" i="40"/>
  <c r="I19" i="40"/>
  <c r="I17" i="40"/>
  <c r="I16" i="40"/>
  <c r="H64" i="40"/>
  <c r="H56" i="40"/>
  <c r="H55" i="40"/>
  <c r="H54" i="40"/>
  <c r="H50" i="40"/>
  <c r="H47" i="40"/>
  <c r="H45" i="40"/>
  <c r="H35" i="40"/>
  <c r="I18" i="40"/>
  <c r="I66" i="41"/>
  <c r="I66" i="42"/>
  <c r="I66" i="57"/>
  <c r="I66" i="55"/>
  <c r="I67" i="56"/>
  <c r="I67" i="54"/>
  <c r="I45" i="54"/>
  <c r="H22" i="2" l="1"/>
  <c r="I22" i="2" s="1"/>
  <c r="I65" i="40"/>
  <c r="I69" i="53"/>
  <c r="I66" i="52"/>
  <c r="H38" i="52"/>
  <c r="I66" i="51"/>
  <c r="F23" i="29"/>
  <c r="F10" i="29"/>
  <c r="I67" i="50"/>
  <c r="I34" i="48"/>
  <c r="I67" i="48" s="1"/>
  <c r="G28" i="23"/>
  <c r="G26" i="23"/>
  <c r="A28" i="23"/>
  <c r="A17" i="21"/>
  <c r="I66" i="49"/>
  <c r="I66" i="47"/>
  <c r="H25" i="47"/>
  <c r="H63" i="47"/>
  <c r="G21" i="19"/>
  <c r="G9" i="19"/>
  <c r="I70" i="46"/>
  <c r="H38" i="46"/>
  <c r="H64" i="17"/>
  <c r="I64" i="17" l="1"/>
  <c r="H34" i="46" s="1"/>
  <c r="H19" i="17" l="1"/>
  <c r="H18" i="17"/>
  <c r="H17" i="17"/>
  <c r="H16" i="17"/>
  <c r="H15" i="17"/>
  <c r="H14" i="17"/>
  <c r="H13" i="17"/>
  <c r="G12" i="17"/>
  <c r="H12" i="17" s="1"/>
  <c r="H11" i="17"/>
  <c r="H10" i="17"/>
  <c r="G10" i="15"/>
  <c r="I10" i="58"/>
  <c r="I66" i="44"/>
  <c r="G10" i="13"/>
  <c r="F4" i="56"/>
  <c r="F4" i="55"/>
  <c r="F4" i="54"/>
  <c r="F4" i="53"/>
  <c r="F4" i="52"/>
  <c r="F4" i="51"/>
  <c r="F4" i="50"/>
  <c r="F4" i="48"/>
  <c r="F4" i="49"/>
  <c r="F4" i="47"/>
  <c r="F4" i="46"/>
  <c r="F4" i="45"/>
  <c r="F4" i="57"/>
  <c r="F4" i="44"/>
  <c r="H94" i="11"/>
  <c r="H95" i="11" s="1"/>
  <c r="H63" i="43" s="1"/>
  <c r="H60" i="11"/>
  <c r="H64" i="11" s="1"/>
  <c r="H26" i="11"/>
  <c r="G52" i="11"/>
  <c r="H52" i="11" s="1"/>
  <c r="H47" i="11"/>
  <c r="H48" i="11"/>
  <c r="H49" i="11"/>
  <c r="H50" i="11"/>
  <c r="H53" i="11"/>
  <c r="H54" i="11"/>
  <c r="H55" i="11"/>
  <c r="H56" i="11"/>
  <c r="H44" i="11"/>
  <c r="H45" i="11"/>
  <c r="H46" i="11"/>
  <c r="G30" i="11"/>
  <c r="H30" i="11" s="1"/>
  <c r="G20" i="11"/>
  <c r="G21" i="11" s="1"/>
  <c r="I10" i="17" l="1"/>
  <c r="I14" i="17"/>
  <c r="I18" i="17"/>
  <c r="I16" i="17"/>
  <c r="H20" i="17"/>
  <c r="I12" i="17"/>
  <c r="G95" i="11"/>
  <c r="I20" i="17" l="1"/>
  <c r="I21" i="17"/>
  <c r="H10" i="11" l="1"/>
  <c r="F4" i="43"/>
  <c r="F4" i="62"/>
  <c r="F49" i="61"/>
  <c r="F18" i="61"/>
  <c r="F11" i="61"/>
  <c r="H60" i="62" l="1"/>
  <c r="H59" i="62" s="1"/>
  <c r="H52" i="62"/>
  <c r="H49" i="62"/>
  <c r="H46" i="62"/>
  <c r="H44" i="62"/>
  <c r="H32" i="62"/>
  <c r="H28" i="62"/>
  <c r="H26" i="62"/>
  <c r="A7" i="62"/>
  <c r="G76" i="61"/>
  <c r="A76" i="61"/>
  <c r="G74" i="61"/>
  <c r="H71" i="61"/>
  <c r="I63" i="61"/>
  <c r="H41" i="62" s="1"/>
  <c r="H41" i="40" s="1"/>
  <c r="G48" i="61"/>
  <c r="G47" i="61"/>
  <c r="G46" i="61"/>
  <c r="G45" i="61"/>
  <c r="G44" i="61"/>
  <c r="G43" i="61"/>
  <c r="G42" i="61"/>
  <c r="G41" i="61"/>
  <c r="E17" i="61"/>
  <c r="E16" i="61"/>
  <c r="Q36" i="61"/>
  <c r="H29" i="61" s="1"/>
  <c r="H30" i="61" s="1"/>
  <c r="H55" i="61"/>
  <c r="I56" i="61" s="1"/>
  <c r="H20" i="62" s="1"/>
  <c r="I29" i="61"/>
  <c r="I30" i="61" s="1"/>
  <c r="G29" i="61"/>
  <c r="G28" i="61"/>
  <c r="G10" i="61"/>
  <c r="G9" i="61"/>
  <c r="A4" i="61"/>
  <c r="I22" i="61"/>
  <c r="I23" i="61" s="1"/>
  <c r="G22" i="61"/>
  <c r="G21" i="61"/>
  <c r="E33" i="60"/>
  <c r="M25" i="60"/>
  <c r="H19" i="62" l="1"/>
  <c r="H20" i="40"/>
  <c r="H64" i="61"/>
  <c r="H65" i="61" s="1"/>
  <c r="J29" i="61"/>
  <c r="J30" i="61" s="1"/>
  <c r="G23" i="61"/>
  <c r="G11" i="61"/>
  <c r="H18" i="62" s="1"/>
  <c r="G49" i="61"/>
  <c r="H23" i="62" s="1"/>
  <c r="I32" i="61"/>
  <c r="I33" i="61" s="1"/>
  <c r="H22" i="61"/>
  <c r="H23" i="61" s="1"/>
  <c r="G30" i="61"/>
  <c r="G32" i="61"/>
  <c r="G33" i="61" s="1"/>
  <c r="H56" i="61"/>
  <c r="I62" i="61"/>
  <c r="J22" i="61"/>
  <c r="J23" i="61" s="1"/>
  <c r="G25" i="61"/>
  <c r="G26" i="61" s="1"/>
  <c r="K26" i="61" s="1"/>
  <c r="I70" i="61"/>
  <c r="I71" i="61" s="1"/>
  <c r="H51" i="62" s="1"/>
  <c r="H48" i="62" s="1"/>
  <c r="E34" i="60"/>
  <c r="F32" i="60"/>
  <c r="F30" i="60"/>
  <c r="H30" i="59" s="1"/>
  <c r="F29" i="60"/>
  <c r="F26" i="60"/>
  <c r="H22" i="62" l="1"/>
  <c r="H23" i="40"/>
  <c r="H29" i="59"/>
  <c r="H29" i="40" s="1"/>
  <c r="F33" i="60"/>
  <c r="I64" i="61"/>
  <c r="I65" i="61" s="1"/>
  <c r="H40" i="62"/>
  <c r="K30" i="61"/>
  <c r="K23" i="61"/>
  <c r="K27" i="61" s="1"/>
  <c r="G16" i="61" s="1"/>
  <c r="K33" i="61"/>
  <c r="H31" i="59"/>
  <c r="H31" i="40" s="1"/>
  <c r="F34" i="60"/>
  <c r="G39" i="60"/>
  <c r="B39" i="60"/>
  <c r="G37" i="60"/>
  <c r="H19" i="60"/>
  <c r="H18" i="60"/>
  <c r="H17" i="60"/>
  <c r="H16" i="60"/>
  <c r="H15" i="60"/>
  <c r="H14" i="60"/>
  <c r="H13" i="60"/>
  <c r="G12" i="60"/>
  <c r="H11" i="60"/>
  <c r="H10" i="60"/>
  <c r="A4" i="60"/>
  <c r="H60" i="59"/>
  <c r="H59" i="59" s="1"/>
  <c r="H52" i="59"/>
  <c r="H49" i="59"/>
  <c r="H48" i="59"/>
  <c r="H46" i="59"/>
  <c r="H44" i="59"/>
  <c r="H36" i="59"/>
  <c r="H32" i="59"/>
  <c r="H26" i="59"/>
  <c r="H22" i="59"/>
  <c r="H19" i="59"/>
  <c r="H17" i="59"/>
  <c r="A7" i="59"/>
  <c r="F4" i="59"/>
  <c r="F4" i="42"/>
  <c r="J9" i="9"/>
  <c r="H36" i="62" l="1"/>
  <c r="H24" i="62" s="1"/>
  <c r="H40" i="40"/>
  <c r="H28" i="59"/>
  <c r="H65" i="59" s="1"/>
  <c r="G27" i="2" s="1"/>
  <c r="K34" i="61"/>
  <c r="G17" i="61" s="1"/>
  <c r="G18" i="61" s="1"/>
  <c r="H21" i="62" s="1"/>
  <c r="I16" i="60"/>
  <c r="I14" i="60"/>
  <c r="I10" i="60"/>
  <c r="I18" i="60"/>
  <c r="H20" i="60"/>
  <c r="I12" i="60"/>
  <c r="H29" i="7"/>
  <c r="H24" i="59" l="1"/>
  <c r="H16" i="59" s="1"/>
  <c r="H66" i="59" s="1"/>
  <c r="H65" i="62"/>
  <c r="G30" i="2" s="1"/>
  <c r="H17" i="62"/>
  <c r="H16" i="62" s="1"/>
  <c r="H66" i="62" s="1"/>
  <c r="I21" i="60"/>
  <c r="I20" i="60"/>
  <c r="I28" i="7"/>
  <c r="I29" i="7" s="1"/>
  <c r="H51" i="41" s="1"/>
  <c r="H51" i="40" s="1"/>
  <c r="L137" i="4" l="1"/>
  <c r="L138" i="4"/>
  <c r="L139" i="4"/>
  <c r="L140" i="4"/>
  <c r="L141" i="4"/>
  <c r="L142" i="4"/>
  <c r="L143" i="4"/>
  <c r="L136" i="4"/>
  <c r="H137" i="4"/>
  <c r="H138" i="4"/>
  <c r="H139" i="4"/>
  <c r="H140" i="4"/>
  <c r="H141" i="4"/>
  <c r="H142" i="4"/>
  <c r="H143" i="4"/>
  <c r="H136" i="4"/>
  <c r="G137" i="4"/>
  <c r="G138" i="4"/>
  <c r="G139" i="4"/>
  <c r="G140" i="4"/>
  <c r="G141" i="4"/>
  <c r="G142" i="4"/>
  <c r="G143" i="4"/>
  <c r="G136" i="4"/>
  <c r="F141" i="4"/>
  <c r="F137" i="4"/>
  <c r="F138" i="4"/>
  <c r="F139" i="4"/>
  <c r="F140" i="4"/>
  <c r="F142" i="4"/>
  <c r="F143" i="4"/>
  <c r="F136" i="4"/>
  <c r="E143" i="4"/>
  <c r="E142" i="4"/>
  <c r="E136" i="4"/>
  <c r="E137" i="4"/>
  <c r="E138" i="4"/>
  <c r="E139" i="4"/>
  <c r="E140" i="4"/>
  <c r="C143" i="4"/>
  <c r="C142" i="4"/>
  <c r="J17" i="7" l="1"/>
  <c r="L16" i="7"/>
  <c r="M16" i="7"/>
  <c r="K16" i="7"/>
  <c r="J16" i="7"/>
  <c r="L8" i="7"/>
  <c r="J8" i="7"/>
  <c r="I40" i="2" l="1"/>
  <c r="H40" i="2"/>
  <c r="I49" i="2"/>
  <c r="H49" i="2"/>
  <c r="H17" i="27" l="1"/>
  <c r="G17" i="27"/>
  <c r="G18" i="27" l="1"/>
  <c r="H18" i="27"/>
  <c r="H57" i="50" l="1"/>
  <c r="H57" i="40" s="1"/>
  <c r="H14" i="11"/>
  <c r="I14" i="11" s="1"/>
  <c r="H9" i="11"/>
  <c r="H66" i="50" l="1"/>
  <c r="G82" i="2" s="1"/>
  <c r="D172" i="4"/>
  <c r="D107" i="4"/>
  <c r="D108" i="4" s="1"/>
  <c r="G81" i="2" l="1"/>
  <c r="G80" i="2" s="1"/>
  <c r="I82" i="2"/>
  <c r="I81" i="2" s="1"/>
  <c r="I80" i="2" s="1"/>
  <c r="H82" i="2"/>
  <c r="H81" i="2" s="1"/>
  <c r="H80" i="2" s="1"/>
  <c r="F16" i="4"/>
  <c r="E7" i="3" l="1"/>
  <c r="D7" i="3"/>
  <c r="C6" i="3"/>
  <c r="I7" i="2"/>
  <c r="H7" i="2"/>
  <c r="G6" i="2"/>
  <c r="G92" i="4" l="1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7" i="4"/>
  <c r="D78" i="4" l="1"/>
  <c r="D93" i="4" s="1"/>
  <c r="H12" i="11" l="1"/>
  <c r="E63" i="1" l="1"/>
  <c r="D63" i="1"/>
  <c r="C63" i="1"/>
  <c r="A7" i="56" l="1"/>
  <c r="A7" i="55"/>
  <c r="A7" i="54"/>
  <c r="A7" i="53"/>
  <c r="A7" i="52"/>
  <c r="A7" i="51"/>
  <c r="A7" i="50"/>
  <c r="A7" i="48"/>
  <c r="A7" i="49"/>
  <c r="A7" i="47"/>
  <c r="A7" i="46"/>
  <c r="A7" i="45"/>
  <c r="A7" i="57"/>
  <c r="A7" i="44"/>
  <c r="A7" i="43"/>
  <c r="A7" i="42"/>
  <c r="A7" i="41"/>
  <c r="C96" i="1" l="1"/>
  <c r="D211" i="4"/>
  <c r="E205" i="4"/>
  <c r="D205" i="4"/>
  <c r="E206" i="4"/>
  <c r="E193" i="4"/>
  <c r="E192" i="4"/>
  <c r="F192" i="4" s="1"/>
  <c r="G173" i="4"/>
  <c r="G172" i="4"/>
  <c r="D173" i="4"/>
  <c r="G174" i="4" s="1"/>
  <c r="D153" i="4"/>
  <c r="H131" i="4"/>
  <c r="D120" i="4"/>
  <c r="D109" i="4"/>
  <c r="D121" i="4" s="1"/>
  <c r="C8" i="4"/>
  <c r="C52" i="4"/>
  <c r="C51" i="4"/>
  <c r="C50" i="4"/>
  <c r="C49" i="4"/>
  <c r="D27" i="4"/>
  <c r="D28" i="4"/>
  <c r="E14" i="4" l="1"/>
  <c r="H39" i="2" l="1"/>
  <c r="H38" i="2" s="1"/>
  <c r="H37" i="2" s="1"/>
  <c r="I39" i="2"/>
  <c r="I38" i="2" s="1"/>
  <c r="I37" i="2" s="1"/>
  <c r="I15" i="58" l="1"/>
  <c r="B15" i="58"/>
  <c r="I13" i="58"/>
  <c r="I9" i="58"/>
  <c r="J9" i="58" s="1"/>
  <c r="J10" i="58" s="1"/>
  <c r="H58" i="57" s="1"/>
  <c r="A4" i="58"/>
  <c r="H60" i="57"/>
  <c r="H59" i="57" s="1"/>
  <c r="H49" i="57"/>
  <c r="H48" i="57" s="1"/>
  <c r="H44" i="57"/>
  <c r="H36" i="57"/>
  <c r="H32" i="57"/>
  <c r="H24" i="57" s="1"/>
  <c r="H28" i="57"/>
  <c r="H26" i="57"/>
  <c r="H22" i="57"/>
  <c r="H19" i="57"/>
  <c r="H17" i="57" s="1"/>
  <c r="H52" i="56"/>
  <c r="H52" i="55"/>
  <c r="H52" i="54"/>
  <c r="H52" i="53"/>
  <c r="H52" i="52"/>
  <c r="H52" i="51"/>
  <c r="H52" i="50"/>
  <c r="H52" i="48"/>
  <c r="H52" i="49"/>
  <c r="H52" i="47"/>
  <c r="H52" i="45"/>
  <c r="H52" i="44"/>
  <c r="H52" i="42"/>
  <c r="H52" i="41"/>
  <c r="H65" i="57" l="1"/>
  <c r="G40" i="2" s="1"/>
  <c r="G39" i="2" s="1"/>
  <c r="G38" i="2" s="1"/>
  <c r="G37" i="2" s="1"/>
  <c r="H52" i="57"/>
  <c r="H46" i="57"/>
  <c r="H16" i="57" l="1"/>
  <c r="H66" i="57" s="1"/>
  <c r="I26" i="11" l="1"/>
  <c r="C80" i="1" l="1"/>
  <c r="H68" i="11" l="1"/>
  <c r="I67" i="11" l="1"/>
  <c r="I68" i="11" s="1"/>
  <c r="H42" i="43" s="1"/>
  <c r="H42" i="40" s="1"/>
  <c r="E95" i="1" l="1"/>
  <c r="E94" i="1" s="1"/>
  <c r="D95" i="1"/>
  <c r="D94" i="1" s="1"/>
  <c r="C95" i="1"/>
  <c r="C94" i="1" s="1"/>
  <c r="C36" i="1" l="1"/>
  <c r="E58" i="1" l="1"/>
  <c r="D58" i="1"/>
  <c r="C58" i="1"/>
  <c r="D92" i="1" l="1"/>
  <c r="D91" i="1" s="1"/>
  <c r="D90" i="1" s="1"/>
  <c r="E92" i="1"/>
  <c r="E91" i="1" s="1"/>
  <c r="E90" i="1" s="1"/>
  <c r="C92" i="1"/>
  <c r="C91" i="1" s="1"/>
  <c r="C90" i="1" s="1"/>
  <c r="D80" i="1" l="1"/>
  <c r="E80" i="1"/>
  <c r="H113" i="2" l="1"/>
  <c r="I113" i="2"/>
  <c r="A4" i="39" l="1"/>
  <c r="A4" i="37"/>
  <c r="A4" i="35"/>
  <c r="A4" i="33"/>
  <c r="A4" i="31"/>
  <c r="A4" i="29"/>
  <c r="A4" i="27"/>
  <c r="A4" i="23"/>
  <c r="A4" i="21"/>
  <c r="A4" i="19"/>
  <c r="A4" i="17"/>
  <c r="A4" i="15"/>
  <c r="A4" i="13"/>
  <c r="A4" i="11"/>
  <c r="A4" i="9"/>
  <c r="A4" i="7"/>
  <c r="H60" i="56" l="1"/>
  <c r="H59" i="56"/>
  <c r="H49" i="56"/>
  <c r="H46" i="56"/>
  <c r="H44" i="56"/>
  <c r="H32" i="56"/>
  <c r="H28" i="56"/>
  <c r="H26" i="56"/>
  <c r="H22" i="56"/>
  <c r="H19" i="56"/>
  <c r="H17" i="56" s="1"/>
  <c r="H60" i="55"/>
  <c r="H59" i="55"/>
  <c r="H46" i="55"/>
  <c r="H44" i="55"/>
  <c r="H32" i="55"/>
  <c r="H28" i="55"/>
  <c r="H26" i="55"/>
  <c r="H22" i="55"/>
  <c r="H19" i="55"/>
  <c r="H17" i="55"/>
  <c r="H60" i="54"/>
  <c r="H59" i="54" s="1"/>
  <c r="H49" i="54"/>
  <c r="H48" i="54" s="1"/>
  <c r="H46" i="54"/>
  <c r="H36" i="54"/>
  <c r="H32" i="54"/>
  <c r="H28" i="54"/>
  <c r="H26" i="54"/>
  <c r="H22" i="54"/>
  <c r="H19" i="54"/>
  <c r="H17" i="54"/>
  <c r="H60" i="53"/>
  <c r="H59" i="53" s="1"/>
  <c r="H49" i="53"/>
  <c r="H48" i="53" s="1"/>
  <c r="H46" i="53"/>
  <c r="H44" i="53"/>
  <c r="H36" i="53"/>
  <c r="H26" i="53"/>
  <c r="H22" i="53"/>
  <c r="H19" i="53"/>
  <c r="H17" i="53" s="1"/>
  <c r="H59" i="52"/>
  <c r="H60" i="52"/>
  <c r="H49" i="52"/>
  <c r="H48" i="52" s="1"/>
  <c r="H46" i="52"/>
  <c r="H44" i="52"/>
  <c r="H32" i="52"/>
  <c r="H28" i="52"/>
  <c r="H26" i="52"/>
  <c r="H22" i="52"/>
  <c r="H17" i="52" s="1"/>
  <c r="H19" i="52"/>
  <c r="H60" i="51"/>
  <c r="H49" i="51"/>
  <c r="H48" i="51" s="1"/>
  <c r="H46" i="51"/>
  <c r="H44" i="51"/>
  <c r="H36" i="51"/>
  <c r="H28" i="51"/>
  <c r="H26" i="51"/>
  <c r="H22" i="51"/>
  <c r="H19" i="51"/>
  <c r="H17" i="51" s="1"/>
  <c r="H60" i="50"/>
  <c r="H59" i="50" s="1"/>
  <c r="H49" i="50"/>
  <c r="H48" i="50" s="1"/>
  <c r="H46" i="50"/>
  <c r="H44" i="50"/>
  <c r="H32" i="50"/>
  <c r="H28" i="50"/>
  <c r="H26" i="50"/>
  <c r="H22" i="50"/>
  <c r="H19" i="50"/>
  <c r="H17" i="50"/>
  <c r="H60" i="49"/>
  <c r="H59" i="49"/>
  <c r="H49" i="49"/>
  <c r="H48" i="49" s="1"/>
  <c r="H46" i="49"/>
  <c r="H44" i="49"/>
  <c r="H32" i="49"/>
  <c r="H28" i="49"/>
  <c r="H26" i="49"/>
  <c r="H22" i="49"/>
  <c r="H19" i="49"/>
  <c r="H17" i="49"/>
  <c r="H48" i="56" l="1"/>
  <c r="H24" i="54"/>
  <c r="H60" i="48"/>
  <c r="H59" i="48" s="1"/>
  <c r="H49" i="48"/>
  <c r="H48" i="48" s="1"/>
  <c r="H46" i="48"/>
  <c r="H44" i="48"/>
  <c r="H36" i="48"/>
  <c r="H28" i="48"/>
  <c r="H26" i="48"/>
  <c r="H22" i="48"/>
  <c r="H19" i="48"/>
  <c r="H17" i="48"/>
  <c r="H60" i="47"/>
  <c r="H59" i="47" s="1"/>
  <c r="H49" i="47"/>
  <c r="H48" i="47" s="1"/>
  <c r="H46" i="47"/>
  <c r="H44" i="47"/>
  <c r="H32" i="47"/>
  <c r="H28" i="47"/>
  <c r="H26" i="47"/>
  <c r="H22" i="47"/>
  <c r="H19" i="47"/>
  <c r="H17" i="47"/>
  <c r="H60" i="46"/>
  <c r="H49" i="46"/>
  <c r="H48" i="46" s="1"/>
  <c r="H46" i="46"/>
  <c r="H44" i="46"/>
  <c r="H36" i="46"/>
  <c r="H69" i="46" s="1"/>
  <c r="G59" i="2" s="1"/>
  <c r="H32" i="46"/>
  <c r="H68" i="46" s="1"/>
  <c r="G57" i="2" s="1"/>
  <c r="H26" i="46"/>
  <c r="H22" i="46"/>
  <c r="H19" i="46"/>
  <c r="H60" i="45"/>
  <c r="H59" i="45" s="1"/>
  <c r="H49" i="45"/>
  <c r="H48" i="45" s="1"/>
  <c r="H46" i="45"/>
  <c r="H44" i="45"/>
  <c r="H36" i="45"/>
  <c r="H32" i="45"/>
  <c r="H28" i="45"/>
  <c r="H26" i="45"/>
  <c r="H22" i="45"/>
  <c r="H19" i="45"/>
  <c r="H17" i="45" s="1"/>
  <c r="H60" i="44"/>
  <c r="H59" i="44" s="1"/>
  <c r="H49" i="44"/>
  <c r="H48" i="44" s="1"/>
  <c r="H44" i="44"/>
  <c r="H36" i="44"/>
  <c r="H32" i="44"/>
  <c r="H28" i="44"/>
  <c r="H26" i="44"/>
  <c r="H22" i="44"/>
  <c r="H19" i="44"/>
  <c r="G56" i="2" l="1"/>
  <c r="G58" i="2"/>
  <c r="H17" i="46"/>
  <c r="H24" i="45"/>
  <c r="H17" i="44"/>
  <c r="H24" i="44"/>
  <c r="H49" i="43" l="1"/>
  <c r="H46" i="43"/>
  <c r="H44" i="43"/>
  <c r="H60" i="42"/>
  <c r="H59" i="42" s="1"/>
  <c r="H49" i="42"/>
  <c r="H48" i="42" s="1"/>
  <c r="H46" i="42"/>
  <c r="H44" i="42"/>
  <c r="H32" i="42"/>
  <c r="H28" i="42"/>
  <c r="H26" i="42"/>
  <c r="H22" i="42"/>
  <c r="H19" i="42"/>
  <c r="H17" i="42" s="1"/>
  <c r="H60" i="41"/>
  <c r="H59" i="41"/>
  <c r="H49" i="41"/>
  <c r="H48" i="41" s="1"/>
  <c r="H46" i="41"/>
  <c r="H44" i="41"/>
  <c r="H36" i="41"/>
  <c r="H32" i="41"/>
  <c r="H28" i="41"/>
  <c r="H26" i="41"/>
  <c r="H24" i="41" s="1"/>
  <c r="H22" i="41"/>
  <c r="H19" i="41"/>
  <c r="G10" i="35" l="1"/>
  <c r="H10" i="35" s="1"/>
  <c r="H66" i="54" s="1"/>
  <c r="G113" i="2" l="1"/>
  <c r="O145" i="4" l="1"/>
  <c r="N145" i="4"/>
  <c r="M145" i="4"/>
  <c r="E57" i="1" l="1"/>
  <c r="E56" i="1" s="1"/>
  <c r="D57" i="1"/>
  <c r="D56" i="1" s="1"/>
  <c r="C57" i="1"/>
  <c r="C56" i="1" s="1"/>
  <c r="C67" i="4" l="1"/>
  <c r="D60" i="4" s="1"/>
  <c r="C40" i="4" l="1"/>
  <c r="C42" i="4" s="1"/>
  <c r="G19" i="23" l="1"/>
  <c r="H19" i="23" s="1"/>
  <c r="G20" i="23"/>
  <c r="G21" i="23"/>
  <c r="G18" i="23"/>
  <c r="F49" i="4"/>
  <c r="F50" i="4"/>
  <c r="F51" i="4"/>
  <c r="F52" i="4"/>
  <c r="I125" i="2" l="1"/>
  <c r="H125" i="2"/>
  <c r="H21" i="19" l="1"/>
  <c r="H22" i="19" s="1"/>
  <c r="G22" i="19"/>
  <c r="H79" i="11" l="1"/>
  <c r="G80" i="11"/>
  <c r="H80" i="11" l="1"/>
  <c r="H82" i="11" s="1"/>
  <c r="G82" i="11"/>
  <c r="G9" i="39"/>
  <c r="H9" i="39" s="1"/>
  <c r="I123" i="2"/>
  <c r="I122" i="2" s="1"/>
  <c r="I121" i="2" s="1"/>
  <c r="H123" i="2"/>
  <c r="H122" i="2" s="1"/>
  <c r="H121" i="2" s="1"/>
  <c r="G16" i="39"/>
  <c r="A16" i="39"/>
  <c r="G14" i="39"/>
  <c r="G10" i="39"/>
  <c r="H10" i="39" s="1"/>
  <c r="H66" i="56" s="1"/>
  <c r="H65" i="56" l="1"/>
  <c r="H11" i="39"/>
  <c r="H38" i="56" s="1"/>
  <c r="H36" i="56" s="1"/>
  <c r="H24" i="56" s="1"/>
  <c r="H16" i="56" s="1"/>
  <c r="H67" i="56" s="1"/>
  <c r="G125" i="2"/>
  <c r="G11" i="39"/>
  <c r="G123" i="2" l="1"/>
  <c r="G122" i="2" s="1"/>
  <c r="G121" i="2" s="1"/>
  <c r="I101" i="2" l="1"/>
  <c r="I102" i="2"/>
  <c r="H102" i="2"/>
  <c r="H101" i="2"/>
  <c r="I95" i="2"/>
  <c r="I94" i="2" s="1"/>
  <c r="I93" i="2" s="1"/>
  <c r="H95" i="2"/>
  <c r="H94" i="2" s="1"/>
  <c r="H93" i="2" s="1"/>
  <c r="H92" i="2" l="1"/>
  <c r="H91" i="2" s="1"/>
  <c r="I92" i="2"/>
  <c r="I91" i="2" s="1"/>
  <c r="H100" i="2"/>
  <c r="I100" i="2"/>
  <c r="D85" i="1" l="1"/>
  <c r="E85" i="1"/>
  <c r="C85" i="1"/>
  <c r="D78" i="1"/>
  <c r="E78" i="1"/>
  <c r="C78" i="1"/>
  <c r="G23" i="37" l="1"/>
  <c r="F10" i="37"/>
  <c r="H10" i="37" s="1"/>
  <c r="H19" i="37"/>
  <c r="H13" i="33"/>
  <c r="H12" i="33"/>
  <c r="I12" i="33" l="1"/>
  <c r="J12" i="33" s="1"/>
  <c r="G22" i="23"/>
  <c r="H28" i="46" l="1"/>
  <c r="H65" i="46" s="1"/>
  <c r="G49" i="2" s="1"/>
  <c r="H103" i="11"/>
  <c r="H28" i="43" l="1"/>
  <c r="D210" i="4" l="1"/>
  <c r="D209" i="4"/>
  <c r="D208" i="4"/>
  <c r="C163" i="4"/>
  <c r="D152" i="4"/>
  <c r="D151" i="4"/>
  <c r="D150" i="4"/>
  <c r="D149" i="4"/>
  <c r="D148" i="4"/>
  <c r="D147" i="4"/>
  <c r="G131" i="4"/>
  <c r="D131" i="4"/>
  <c r="E52" i="4"/>
  <c r="E51" i="4"/>
  <c r="E50" i="4"/>
  <c r="E49" i="4"/>
  <c r="E131" i="4" l="1"/>
  <c r="D155" i="4"/>
  <c r="D154" i="4"/>
  <c r="H20" i="11"/>
  <c r="J15" i="9" l="1"/>
  <c r="A4" i="3" l="1"/>
  <c r="A4" i="2"/>
  <c r="C1" i="3"/>
  <c r="G1" i="2"/>
  <c r="I120" i="2" l="1"/>
  <c r="H120" i="2"/>
  <c r="I112" i="2"/>
  <c r="H112" i="2"/>
  <c r="I75" i="2"/>
  <c r="H75" i="2"/>
  <c r="I64" i="2"/>
  <c r="I99" i="2" l="1"/>
  <c r="H99" i="2"/>
  <c r="H64" i="2"/>
  <c r="H17" i="37" l="1"/>
  <c r="H16" i="37"/>
  <c r="H15" i="37"/>
  <c r="H14" i="37"/>
  <c r="H13" i="37"/>
  <c r="H12" i="37"/>
  <c r="H11" i="37"/>
  <c r="H36" i="55" l="1"/>
  <c r="G25" i="37"/>
  <c r="A25" i="37"/>
  <c r="H18" i="37"/>
  <c r="G9" i="35"/>
  <c r="G11" i="35" s="1"/>
  <c r="H24" i="55" l="1"/>
  <c r="H20" i="37"/>
  <c r="G16" i="35"/>
  <c r="A16" i="35"/>
  <c r="G14" i="35"/>
  <c r="H50" i="55" l="1"/>
  <c r="H49" i="55" s="1"/>
  <c r="H9" i="35"/>
  <c r="I20" i="33"/>
  <c r="I21" i="33" s="1"/>
  <c r="J10" i="33"/>
  <c r="H65" i="54" l="1"/>
  <c r="H11" i="35"/>
  <c r="H45" i="54" s="1"/>
  <c r="H49" i="40"/>
  <c r="H48" i="55"/>
  <c r="H16" i="55" s="1"/>
  <c r="H66" i="55" s="1"/>
  <c r="H65" i="55"/>
  <c r="J20" i="33"/>
  <c r="J21" i="33" s="1"/>
  <c r="H34" i="53" s="1"/>
  <c r="J14" i="33"/>
  <c r="I14" i="33"/>
  <c r="G16" i="31"/>
  <c r="A16" i="31"/>
  <c r="G14" i="31"/>
  <c r="H10" i="31"/>
  <c r="H11" i="31" s="1"/>
  <c r="G10" i="31"/>
  <c r="G11" i="31" s="1"/>
  <c r="G36" i="29"/>
  <c r="A36" i="29"/>
  <c r="G34" i="29"/>
  <c r="H31" i="29"/>
  <c r="G31" i="29"/>
  <c r="H18" i="29"/>
  <c r="H34" i="51" s="1"/>
  <c r="G23" i="27"/>
  <c r="A23" i="27"/>
  <c r="G21" i="27"/>
  <c r="H30" i="53" l="1"/>
  <c r="H30" i="40" s="1"/>
  <c r="G101" i="2"/>
  <c r="G102" i="2"/>
  <c r="H65" i="53"/>
  <c r="H32" i="53"/>
  <c r="H63" i="51"/>
  <c r="H59" i="51" s="1"/>
  <c r="G11" i="27"/>
  <c r="H44" i="40"/>
  <c r="H44" i="54"/>
  <c r="H16" i="54" s="1"/>
  <c r="H67" i="54" s="1"/>
  <c r="H11" i="27"/>
  <c r="H38" i="50" s="1"/>
  <c r="H65" i="52"/>
  <c r="H36" i="52"/>
  <c r="H24" i="52" s="1"/>
  <c r="H16" i="52" s="1"/>
  <c r="H66" i="52" s="1"/>
  <c r="H32" i="51"/>
  <c r="H20" i="23"/>
  <c r="H21" i="23"/>
  <c r="H18" i="23"/>
  <c r="H41" i="17"/>
  <c r="H42" i="17" s="1"/>
  <c r="F17" i="23"/>
  <c r="G17" i="23" s="1"/>
  <c r="H22" i="23"/>
  <c r="G10" i="23"/>
  <c r="G11" i="23" s="1"/>
  <c r="G10" i="21"/>
  <c r="H10" i="21" s="1"/>
  <c r="G11" i="21"/>
  <c r="H11" i="21" s="1"/>
  <c r="G9" i="21"/>
  <c r="G17" i="21"/>
  <c r="G15" i="21"/>
  <c r="G27" i="19"/>
  <c r="A27" i="19"/>
  <c r="G25" i="19"/>
  <c r="G79" i="17"/>
  <c r="A79" i="17"/>
  <c r="G77" i="17"/>
  <c r="G15" i="15"/>
  <c r="A15" i="15"/>
  <c r="G13" i="15"/>
  <c r="G15" i="13"/>
  <c r="A15" i="13"/>
  <c r="G13" i="13"/>
  <c r="G108" i="11"/>
  <c r="G106" i="11"/>
  <c r="A108" i="11"/>
  <c r="I22" i="9"/>
  <c r="I20" i="9"/>
  <c r="B22" i="9"/>
  <c r="H9" i="19"/>
  <c r="H10" i="19" s="1"/>
  <c r="H16" i="19"/>
  <c r="G10" i="19"/>
  <c r="I55" i="17"/>
  <c r="I56" i="17" s="1"/>
  <c r="H58" i="46" s="1"/>
  <c r="H55" i="17"/>
  <c r="H56" i="17" s="1"/>
  <c r="H47" i="17"/>
  <c r="H48" i="17" s="1"/>
  <c r="I47" i="17"/>
  <c r="I48" i="17" s="1"/>
  <c r="H63" i="46" s="1"/>
  <c r="H63" i="40" s="1"/>
  <c r="I41" i="17"/>
  <c r="I42" i="17" s="1"/>
  <c r="H25" i="46" s="1"/>
  <c r="H66" i="46" l="1"/>
  <c r="G52" i="2" s="1"/>
  <c r="H67" i="46"/>
  <c r="G55" i="2" s="1"/>
  <c r="H58" i="40"/>
  <c r="H52" i="46"/>
  <c r="H28" i="53"/>
  <c r="H28" i="40"/>
  <c r="H17" i="23"/>
  <c r="H23" i="23" s="1"/>
  <c r="H65" i="51"/>
  <c r="H24" i="51"/>
  <c r="H16" i="51" s="1"/>
  <c r="H66" i="51" s="1"/>
  <c r="H59" i="46"/>
  <c r="H24" i="46"/>
  <c r="G94" i="2"/>
  <c r="G93" i="2" s="1"/>
  <c r="G92" i="2" s="1"/>
  <c r="G91" i="2" s="1"/>
  <c r="G12" i="21"/>
  <c r="G23" i="23"/>
  <c r="H10" i="23"/>
  <c r="H11" i="23" s="1"/>
  <c r="H65" i="48" s="1"/>
  <c r="G75" i="2" s="1"/>
  <c r="H9" i="21"/>
  <c r="H12" i="21" s="1"/>
  <c r="I15" i="19"/>
  <c r="I16" i="19" s="1"/>
  <c r="H38" i="47" l="1"/>
  <c r="J32" i="19"/>
  <c r="G90" i="2"/>
  <c r="H66" i="48"/>
  <c r="G78" i="2" s="1"/>
  <c r="H34" i="48"/>
  <c r="H36" i="50"/>
  <c r="H24" i="50" s="1"/>
  <c r="H16" i="50" s="1"/>
  <c r="H67" i="50" s="1"/>
  <c r="H65" i="50"/>
  <c r="G85" i="2" s="1"/>
  <c r="H38" i="49"/>
  <c r="H36" i="49" s="1"/>
  <c r="H65" i="49" s="1"/>
  <c r="H36" i="47"/>
  <c r="H24" i="53"/>
  <c r="H16" i="53" s="1"/>
  <c r="H69" i="53" s="1"/>
  <c r="H16" i="46"/>
  <c r="H70" i="46" s="1"/>
  <c r="G99" i="2" l="1"/>
  <c r="I90" i="2"/>
  <c r="H24" i="49"/>
  <c r="H16" i="49" s="1"/>
  <c r="H66" i="49" s="1"/>
  <c r="H65" i="47"/>
  <c r="G64" i="2" s="1"/>
  <c r="H24" i="47"/>
  <c r="H16" i="47" s="1"/>
  <c r="H66" i="47" s="1"/>
  <c r="H32" i="48"/>
  <c r="H24" i="48" s="1"/>
  <c r="H16" i="48" s="1"/>
  <c r="H67" i="48" s="1"/>
  <c r="H9" i="15"/>
  <c r="H10" i="15" s="1"/>
  <c r="H16" i="45" s="1"/>
  <c r="G9" i="13"/>
  <c r="H9" i="13" s="1"/>
  <c r="H10" i="13" s="1"/>
  <c r="H47" i="44" s="1"/>
  <c r="H65" i="45" l="1"/>
  <c r="H66" i="45"/>
  <c r="H46" i="44"/>
  <c r="H16" i="44" s="1"/>
  <c r="H66" i="44" s="1"/>
  <c r="H65" i="44"/>
  <c r="H87" i="11"/>
  <c r="H89" i="11" s="1"/>
  <c r="H62" i="43" s="1"/>
  <c r="H62" i="40" s="1"/>
  <c r="G78" i="11"/>
  <c r="I102" i="11"/>
  <c r="I101" i="11"/>
  <c r="I100" i="11"/>
  <c r="H53" i="43" s="1"/>
  <c r="G71" i="11"/>
  <c r="H71" i="11" s="1"/>
  <c r="I71" i="11" s="1"/>
  <c r="I72" i="11" s="1"/>
  <c r="H53" i="40" l="1"/>
  <c r="H52" i="40" s="1"/>
  <c r="H66" i="43"/>
  <c r="G32" i="2" s="1"/>
  <c r="H43" i="43"/>
  <c r="H43" i="40" s="1"/>
  <c r="H78" i="11"/>
  <c r="H52" i="43"/>
  <c r="H46" i="40"/>
  <c r="I103" i="11"/>
  <c r="G89" i="11"/>
  <c r="H72" i="11"/>
  <c r="I64" i="11"/>
  <c r="H39" i="43" s="1"/>
  <c r="I54" i="11"/>
  <c r="I56" i="11"/>
  <c r="I55" i="11"/>
  <c r="I45" i="11"/>
  <c r="I48" i="11"/>
  <c r="I46" i="11"/>
  <c r="I53" i="11"/>
  <c r="I51" i="11"/>
  <c r="I50" i="11"/>
  <c r="I49" i="11"/>
  <c r="I47" i="11"/>
  <c r="I44" i="11"/>
  <c r="H32" i="11"/>
  <c r="I31" i="11"/>
  <c r="I32" i="11" l="1"/>
  <c r="I34" i="11" s="1"/>
  <c r="H34" i="11"/>
  <c r="H61" i="43"/>
  <c r="H48" i="40"/>
  <c r="H48" i="43"/>
  <c r="H27" i="11"/>
  <c r="H41" i="11"/>
  <c r="I52" i="11"/>
  <c r="I57" i="11" s="1"/>
  <c r="H38" i="43" s="1"/>
  <c r="H38" i="40" s="1"/>
  <c r="H57" i="11"/>
  <c r="I30" i="11"/>
  <c r="H61" i="40" l="1"/>
  <c r="H60" i="40" s="1"/>
  <c r="H59" i="40" s="1"/>
  <c r="H60" i="43"/>
  <c r="H59" i="43" s="1"/>
  <c r="H73" i="11"/>
  <c r="I32" i="2"/>
  <c r="H32" i="2"/>
  <c r="H35" i="11"/>
  <c r="H21" i="11"/>
  <c r="H27" i="43" s="1"/>
  <c r="H27" i="40" s="1"/>
  <c r="I10" i="11"/>
  <c r="I9" i="11"/>
  <c r="H26" i="43" l="1"/>
  <c r="H13" i="11"/>
  <c r="H39" i="40"/>
  <c r="I41" i="11"/>
  <c r="I27" i="11"/>
  <c r="H11" i="11"/>
  <c r="I11" i="11" s="1"/>
  <c r="H37" i="43" l="1"/>
  <c r="H37" i="40" s="1"/>
  <c r="H33" i="43"/>
  <c r="H33" i="40" s="1"/>
  <c r="I73" i="11"/>
  <c r="I12" i="11"/>
  <c r="H26" i="40"/>
  <c r="H19" i="43"/>
  <c r="H34" i="43"/>
  <c r="I13" i="11"/>
  <c r="H34" i="40" l="1"/>
  <c r="H15" i="11"/>
  <c r="I15" i="11"/>
  <c r="H19" i="40"/>
  <c r="I35" i="11"/>
  <c r="J17" i="9"/>
  <c r="H38" i="42" s="1"/>
  <c r="H36" i="42" s="1"/>
  <c r="H25" i="43" l="1"/>
  <c r="H32" i="43"/>
  <c r="H22" i="43"/>
  <c r="J10" i="9"/>
  <c r="H25" i="42" s="1"/>
  <c r="J12" i="7"/>
  <c r="J13" i="7" s="1"/>
  <c r="N13" i="7" s="1"/>
  <c r="M8" i="7"/>
  <c r="M9" i="7" s="1"/>
  <c r="L9" i="7"/>
  <c r="J7" i="7"/>
  <c r="J9" i="7" s="1"/>
  <c r="H25" i="40" l="1"/>
  <c r="H65" i="43"/>
  <c r="G31" i="2" s="1"/>
  <c r="G29" i="2" s="1"/>
  <c r="H36" i="43"/>
  <c r="H24" i="43" s="1"/>
  <c r="H65" i="42"/>
  <c r="H24" i="42"/>
  <c r="H16" i="42" s="1"/>
  <c r="H66" i="42" s="1"/>
  <c r="H36" i="40"/>
  <c r="H22" i="40"/>
  <c r="H32" i="40"/>
  <c r="H17" i="43"/>
  <c r="K8" i="7"/>
  <c r="K9" i="7" s="1"/>
  <c r="H18" i="41" l="1"/>
  <c r="I10" i="1"/>
  <c r="N14" i="7"/>
  <c r="H16" i="43"/>
  <c r="H67" i="43" s="1"/>
  <c r="H24" i="40"/>
  <c r="E17" i="1"/>
  <c r="D17" i="1"/>
  <c r="E16" i="1"/>
  <c r="D16" i="1"/>
  <c r="E15" i="1"/>
  <c r="D15" i="1"/>
  <c r="D14" i="1"/>
  <c r="E14" i="1"/>
  <c r="C17" i="1"/>
  <c r="C16" i="1"/>
  <c r="C15" i="1"/>
  <c r="C14" i="1"/>
  <c r="E199" i="4"/>
  <c r="E198" i="4"/>
  <c r="E197" i="4"/>
  <c r="E196" i="4"/>
  <c r="E195" i="4"/>
  <c r="E194" i="4"/>
  <c r="B194" i="4"/>
  <c r="E191" i="4"/>
  <c r="E190" i="4"/>
  <c r="E189" i="4"/>
  <c r="E188" i="4"/>
  <c r="F183" i="4"/>
  <c r="E183" i="4"/>
  <c r="D183" i="4"/>
  <c r="G171" i="4"/>
  <c r="G170" i="4"/>
  <c r="B171" i="4"/>
  <c r="G169" i="4"/>
  <c r="G168" i="4"/>
  <c r="G167" i="4"/>
  <c r="G166" i="4"/>
  <c r="F162" i="4"/>
  <c r="E162" i="4"/>
  <c r="D162" i="4"/>
  <c r="C162" i="4"/>
  <c r="F130" i="4"/>
  <c r="E130" i="4"/>
  <c r="D130" i="4"/>
  <c r="C130" i="4"/>
  <c r="C183" i="4" s="1"/>
  <c r="B107" i="4"/>
  <c r="D99" i="4"/>
  <c r="F98" i="4"/>
  <c r="E98" i="4"/>
  <c r="D98" i="4"/>
  <c r="C98" i="4"/>
  <c r="E78" i="4"/>
  <c r="E93" i="4" s="1"/>
  <c r="G76" i="4"/>
  <c r="F71" i="4"/>
  <c r="E71" i="4"/>
  <c r="D71" i="4"/>
  <c r="C71" i="4"/>
  <c r="E53" i="4"/>
  <c r="D53" i="4"/>
  <c r="C53" i="4"/>
  <c r="D26" i="4"/>
  <c r="D25" i="4"/>
  <c r="E16" i="4"/>
  <c r="E17" i="4" s="1"/>
  <c r="F17" i="4" s="1"/>
  <c r="D29" i="4" s="1"/>
  <c r="D24" i="4"/>
  <c r="E15" i="4"/>
  <c r="D23" i="4"/>
  <c r="E13" i="4"/>
  <c r="D22" i="4"/>
  <c r="E12" i="4"/>
  <c r="D21" i="4"/>
  <c r="D20" i="4"/>
  <c r="G22" i="7" l="1"/>
  <c r="H21" i="41" s="1"/>
  <c r="H18" i="40"/>
  <c r="L17" i="3"/>
  <c r="H31" i="2"/>
  <c r="I31" i="2" s="1"/>
  <c r="I30" i="2"/>
  <c r="H30" i="2"/>
  <c r="E163" i="4"/>
  <c r="F163" i="4" s="1"/>
  <c r="C35" i="1" s="1"/>
  <c r="E99" i="4"/>
  <c r="F99" i="4" s="1"/>
  <c r="C28" i="1" s="1"/>
  <c r="D28" i="1"/>
  <c r="E28" i="1" s="1"/>
  <c r="D163" i="4"/>
  <c r="F131" i="4"/>
  <c r="C32" i="1" s="1"/>
  <c r="F194" i="4"/>
  <c r="F198" i="4"/>
  <c r="D213" i="4" s="1"/>
  <c r="D8" i="4"/>
  <c r="F53" i="4"/>
  <c r="F190" i="4"/>
  <c r="G78" i="4"/>
  <c r="F196" i="4"/>
  <c r="D212" i="4" s="1"/>
  <c r="F188" i="4"/>
  <c r="C20" i="1"/>
  <c r="E8" i="4"/>
  <c r="E61" i="4"/>
  <c r="E60" i="4" s="1"/>
  <c r="A5" i="3"/>
  <c r="A5" i="2"/>
  <c r="I119" i="2"/>
  <c r="I118" i="2" s="1"/>
  <c r="I117" i="2" s="1"/>
  <c r="I116" i="2" s="1"/>
  <c r="H119" i="2"/>
  <c r="H118" i="2" s="1"/>
  <c r="H117" i="2" s="1"/>
  <c r="H116" i="2" s="1"/>
  <c r="G119" i="2"/>
  <c r="G118" i="2" s="1"/>
  <c r="G117" i="2" s="1"/>
  <c r="I111" i="2"/>
  <c r="H111" i="2"/>
  <c r="G111" i="2"/>
  <c r="G89" i="2"/>
  <c r="G88" i="2" s="1"/>
  <c r="I89" i="2"/>
  <c r="I88" i="2" s="1"/>
  <c r="I87" i="2" s="1"/>
  <c r="H89" i="2"/>
  <c r="H88" i="2" s="1"/>
  <c r="H87" i="2" s="1"/>
  <c r="G84" i="2"/>
  <c r="I84" i="2"/>
  <c r="H84" i="2"/>
  <c r="G77" i="2"/>
  <c r="G76" i="2" s="1"/>
  <c r="I74" i="2"/>
  <c r="I73" i="2" s="1"/>
  <c r="I72" i="2" s="1"/>
  <c r="H74" i="2"/>
  <c r="H73" i="2" s="1"/>
  <c r="H72" i="2" s="1"/>
  <c r="G74" i="2"/>
  <c r="G73" i="2" s="1"/>
  <c r="G72" i="2" s="1"/>
  <c r="G68" i="2"/>
  <c r="G67" i="2" s="1"/>
  <c r="G66" i="2" s="1"/>
  <c r="G65" i="2" s="1"/>
  <c r="I63" i="2"/>
  <c r="I62" i="2" s="1"/>
  <c r="I61" i="2" s="1"/>
  <c r="I60" i="2" s="1"/>
  <c r="H63" i="2"/>
  <c r="H62" i="2" s="1"/>
  <c r="H61" i="2" s="1"/>
  <c r="H60" i="2" s="1"/>
  <c r="G63" i="2"/>
  <c r="G62" i="2" s="1"/>
  <c r="G61" i="2" s="1"/>
  <c r="G60" i="2" s="1"/>
  <c r="H55" i="2"/>
  <c r="H54" i="2" s="1"/>
  <c r="H53" i="2" s="1"/>
  <c r="I52" i="2"/>
  <c r="I51" i="2" s="1"/>
  <c r="I50" i="2" s="1"/>
  <c r="G48" i="2"/>
  <c r="G47" i="2" s="1"/>
  <c r="G46" i="2" s="1"/>
  <c r="I48" i="2"/>
  <c r="I47" i="2" s="1"/>
  <c r="I46" i="2" s="1"/>
  <c r="H48" i="2"/>
  <c r="H47" i="2" s="1"/>
  <c r="H46" i="2" s="1"/>
  <c r="H44" i="2"/>
  <c r="H42" i="2" s="1"/>
  <c r="H43" i="2" s="1"/>
  <c r="H41" i="2" s="1"/>
  <c r="I36" i="2"/>
  <c r="I26" i="2"/>
  <c r="I25" i="2" s="1"/>
  <c r="I24" i="2" s="1"/>
  <c r="H26" i="2"/>
  <c r="H25" i="2" s="1"/>
  <c r="H24" i="2" s="1"/>
  <c r="G26" i="2"/>
  <c r="G25" i="2" s="1"/>
  <c r="G24" i="2" s="1"/>
  <c r="H19" i="2"/>
  <c r="C76" i="1"/>
  <c r="E76" i="1"/>
  <c r="D76" i="1"/>
  <c r="E73" i="1"/>
  <c r="D73" i="1"/>
  <c r="C73" i="1"/>
  <c r="E69" i="1"/>
  <c r="E68" i="1" s="1"/>
  <c r="D69" i="1"/>
  <c r="D68" i="1" s="1"/>
  <c r="C69" i="1"/>
  <c r="C68" i="1" s="1"/>
  <c r="E64" i="1"/>
  <c r="D64" i="1"/>
  <c r="C64" i="1"/>
  <c r="E62" i="1"/>
  <c r="E61" i="1" s="1"/>
  <c r="D62" i="1"/>
  <c r="D61" i="1" s="1"/>
  <c r="C62" i="1"/>
  <c r="C61" i="1" s="1"/>
  <c r="C54" i="1"/>
  <c r="C49" i="1" s="1"/>
  <c r="E54" i="1"/>
  <c r="E49" i="1" s="1"/>
  <c r="D54" i="1"/>
  <c r="D49" i="1" s="1"/>
  <c r="C46" i="1"/>
  <c r="C45" i="1" s="1"/>
  <c r="C44" i="1" s="1"/>
  <c r="E45" i="1"/>
  <c r="E44" i="1" s="1"/>
  <c r="D45" i="1"/>
  <c r="D44" i="1" s="1"/>
  <c r="G116" i="2" l="1"/>
  <c r="H21" i="40"/>
  <c r="H17" i="40" s="1"/>
  <c r="H16" i="40" s="1"/>
  <c r="H65" i="41"/>
  <c r="G14" i="2" s="1"/>
  <c r="H17" i="41"/>
  <c r="H16" i="41" s="1"/>
  <c r="H66" i="41" s="1"/>
  <c r="J17" i="3" s="1"/>
  <c r="G93" i="4"/>
  <c r="E72" i="4" s="1"/>
  <c r="F72" i="4" s="1"/>
  <c r="C25" i="1" s="1"/>
  <c r="C72" i="1"/>
  <c r="C71" i="1" s="1"/>
  <c r="G87" i="2"/>
  <c r="G110" i="2"/>
  <c r="G109" i="2" s="1"/>
  <c r="H110" i="2"/>
  <c r="H109" i="2" s="1"/>
  <c r="I110" i="2"/>
  <c r="I109" i="2" s="1"/>
  <c r="H69" i="2"/>
  <c r="H68" i="2" s="1"/>
  <c r="H67" i="2" s="1"/>
  <c r="H66" i="2" s="1"/>
  <c r="H65" i="2" s="1"/>
  <c r="D72" i="1"/>
  <c r="D71" i="1" s="1"/>
  <c r="I69" i="2"/>
  <c r="I68" i="2" s="1"/>
  <c r="I67" i="2" s="1"/>
  <c r="I66" i="2" s="1"/>
  <c r="I65" i="2" s="1"/>
  <c r="E72" i="1"/>
  <c r="E71" i="1" s="1"/>
  <c r="D184" i="4"/>
  <c r="E184" i="4"/>
  <c r="F184" i="4" s="1"/>
  <c r="C43" i="1" s="1"/>
  <c r="C31" i="1"/>
  <c r="C30" i="1" s="1"/>
  <c r="C19" i="1"/>
  <c r="C18" i="1" s="1"/>
  <c r="D35" i="1"/>
  <c r="E35" i="1" s="1"/>
  <c r="I83" i="2"/>
  <c r="I79" i="2" s="1"/>
  <c r="H83" i="2"/>
  <c r="H79" i="2" s="1"/>
  <c r="G83" i="2"/>
  <c r="G79" i="2" s="1"/>
  <c r="C27" i="1"/>
  <c r="C26" i="1"/>
  <c r="C60" i="1"/>
  <c r="F61" i="4"/>
  <c r="D21" i="1"/>
  <c r="D20" i="1" s="1"/>
  <c r="D19" i="1" s="1"/>
  <c r="D18" i="1" s="1"/>
  <c r="F8" i="4"/>
  <c r="C11" i="1" s="1"/>
  <c r="E67" i="1"/>
  <c r="E13" i="1"/>
  <c r="D60" i="1"/>
  <c r="D32" i="1"/>
  <c r="E32" i="1" s="1"/>
  <c r="E31" i="1" s="1"/>
  <c r="E30" i="1" s="1"/>
  <c r="D67" i="1"/>
  <c r="C67" i="1"/>
  <c r="C13" i="1"/>
  <c r="C12" i="1" s="1"/>
  <c r="D13" i="1"/>
  <c r="E60" i="1"/>
  <c r="H98" i="2"/>
  <c r="H97" i="2" s="1"/>
  <c r="H96" i="2" s="1"/>
  <c r="H36" i="2"/>
  <c r="H35" i="2" s="1"/>
  <c r="H34" i="2" s="1"/>
  <c r="H33" i="2" s="1"/>
  <c r="H52" i="2"/>
  <c r="H51" i="2" s="1"/>
  <c r="H50" i="2" s="1"/>
  <c r="I98" i="2"/>
  <c r="I97" i="2" s="1"/>
  <c r="I96" i="2" s="1"/>
  <c r="G115" i="2"/>
  <c r="H29" i="2"/>
  <c r="H28" i="2" s="1"/>
  <c r="H23" i="2" s="1"/>
  <c r="G35" i="2"/>
  <c r="G34" i="2" s="1"/>
  <c r="G33" i="2" s="1"/>
  <c r="G51" i="2"/>
  <c r="G50" i="2" s="1"/>
  <c r="G54" i="2"/>
  <c r="G53" i="2" s="1"/>
  <c r="I55" i="2"/>
  <c r="I54" i="2" s="1"/>
  <c r="I53" i="2" s="1"/>
  <c r="G98" i="2"/>
  <c r="G97" i="2" s="1"/>
  <c r="G96" i="2" s="1"/>
  <c r="I21" i="2"/>
  <c r="I20" i="2" s="1"/>
  <c r="H21" i="2"/>
  <c r="H20" i="2" s="1"/>
  <c r="I19" i="2"/>
  <c r="I18" i="2" s="1"/>
  <c r="I17" i="2" s="1"/>
  <c r="H18" i="2"/>
  <c r="H17" i="2" s="1"/>
  <c r="I29" i="2"/>
  <c r="I28" i="2" s="1"/>
  <c r="I23" i="2" s="1"/>
  <c r="G71" i="2"/>
  <c r="I115" i="2"/>
  <c r="H115" i="2"/>
  <c r="G21" i="2"/>
  <c r="G20" i="2" s="1"/>
  <c r="G28" i="2"/>
  <c r="G23" i="2" s="1"/>
  <c r="G42" i="2"/>
  <c r="G43" i="2" s="1"/>
  <c r="G41" i="2" s="1"/>
  <c r="I44" i="2"/>
  <c r="I42" i="2" s="1"/>
  <c r="I43" i="2" s="1"/>
  <c r="I41" i="2" s="1"/>
  <c r="G18" i="2"/>
  <c r="G17" i="2" s="1"/>
  <c r="C34" i="1"/>
  <c r="C33" i="1" s="1"/>
  <c r="I14" i="2" l="1"/>
  <c r="I12" i="2" s="1"/>
  <c r="I11" i="2" s="1"/>
  <c r="G12" i="2"/>
  <c r="G11" i="2" s="1"/>
  <c r="H14" i="2"/>
  <c r="H12" i="2" s="1"/>
  <c r="H11" i="2" s="1"/>
  <c r="G13" i="2"/>
  <c r="I13" i="2"/>
  <c r="C24" i="1"/>
  <c r="C23" i="1"/>
  <c r="C22" i="1" s="1"/>
  <c r="D25" i="1"/>
  <c r="D23" i="1" s="1"/>
  <c r="D22" i="1" s="1"/>
  <c r="E34" i="1"/>
  <c r="E33" i="1" s="1"/>
  <c r="E29" i="1" s="1"/>
  <c r="E26" i="1"/>
  <c r="D43" i="1"/>
  <c r="D42" i="1" s="1"/>
  <c r="D41" i="1" s="1"/>
  <c r="D40" i="1" s="1"/>
  <c r="C29" i="1"/>
  <c r="F60" i="4"/>
  <c r="E21" i="1" s="1"/>
  <c r="E20" i="1" s="1"/>
  <c r="E19" i="1" s="1"/>
  <c r="E18" i="1" s="1"/>
  <c r="C42" i="1"/>
  <c r="C41" i="1" s="1"/>
  <c r="C40" i="1" s="1"/>
  <c r="E43" i="1"/>
  <c r="D11" i="1"/>
  <c r="E11" i="1" s="1"/>
  <c r="E10" i="1" s="1"/>
  <c r="E9" i="1" s="1"/>
  <c r="D34" i="1"/>
  <c r="D33" i="1" s="1"/>
  <c r="G70" i="2"/>
  <c r="C10" i="1"/>
  <c r="C9" i="1" s="1"/>
  <c r="E12" i="1"/>
  <c r="I78" i="2"/>
  <c r="I77" i="2" s="1"/>
  <c r="I76" i="2" s="1"/>
  <c r="I71" i="2" s="1"/>
  <c r="I70" i="2" s="1"/>
  <c r="D12" i="1"/>
  <c r="H78" i="2"/>
  <c r="H77" i="2" s="1"/>
  <c r="H76" i="2" s="1"/>
  <c r="H71" i="2" s="1"/>
  <c r="H70" i="2" s="1"/>
  <c r="E66" i="1"/>
  <c r="C66" i="1"/>
  <c r="H86" i="2"/>
  <c r="I35" i="2"/>
  <c r="I34" i="2" s="1"/>
  <c r="I33" i="2" s="1"/>
  <c r="D31" i="1"/>
  <c r="D30" i="1" s="1"/>
  <c r="E27" i="1"/>
  <c r="D26" i="1"/>
  <c r="D27" i="1"/>
  <c r="G45" i="2"/>
  <c r="D66" i="1"/>
  <c r="D48" i="1" s="1"/>
  <c r="D47" i="1" s="1"/>
  <c r="I86" i="2"/>
  <c r="I45" i="2"/>
  <c r="H45" i="2"/>
  <c r="I16" i="2"/>
  <c r="I15" i="2" s="1"/>
  <c r="G86" i="2"/>
  <c r="H16" i="2"/>
  <c r="H15" i="2" s="1"/>
  <c r="G16" i="2"/>
  <c r="G15" i="2" s="1"/>
  <c r="H10" i="1" l="1"/>
  <c r="L15" i="3"/>
  <c r="L16" i="3" s="1"/>
  <c r="L18" i="3" s="1"/>
  <c r="J15" i="3"/>
  <c r="J20" i="3" s="1"/>
  <c r="H13" i="2"/>
  <c r="H10" i="2"/>
  <c r="H9" i="2" s="1"/>
  <c r="H8" i="2" s="1"/>
  <c r="D17" i="3" s="1"/>
  <c r="D16" i="3" s="1"/>
  <c r="D15" i="3" s="1"/>
  <c r="D14" i="3" s="1"/>
  <c r="G10" i="2"/>
  <c r="G9" i="2" s="1"/>
  <c r="G8" i="2" s="1"/>
  <c r="C17" i="3" s="1"/>
  <c r="C16" i="3" s="1"/>
  <c r="C15" i="3" s="1"/>
  <c r="C14" i="3" s="1"/>
  <c r="D24" i="1"/>
  <c r="E25" i="1"/>
  <c r="E24" i="1" s="1"/>
  <c r="I10" i="2"/>
  <c r="H65" i="40"/>
  <c r="C8" i="1"/>
  <c r="C48" i="1"/>
  <c r="C47" i="1" s="1"/>
  <c r="E48" i="1"/>
  <c r="E47" i="1" s="1"/>
  <c r="E42" i="1"/>
  <c r="E41" i="1" s="1"/>
  <c r="E40" i="1" s="1"/>
  <c r="D29" i="1"/>
  <c r="D10" i="1"/>
  <c r="D9" i="1" s="1"/>
  <c r="L20" i="3" l="1"/>
  <c r="J16" i="3"/>
  <c r="J18" i="3" s="1"/>
  <c r="H9" i="1"/>
  <c r="I9" i="1"/>
  <c r="I9" i="2"/>
  <c r="I8" i="2" s="1"/>
  <c r="E17" i="3" s="1"/>
  <c r="E16" i="3" s="1"/>
  <c r="E15" i="3" s="1"/>
  <c r="E14" i="3" s="1"/>
  <c r="E23" i="1"/>
  <c r="E22" i="1" s="1"/>
  <c r="E8" i="1" s="1"/>
  <c r="E7" i="1" s="1"/>
  <c r="C7" i="1"/>
  <c r="C97" i="1" s="1"/>
  <c r="D8" i="1"/>
  <c r="D7" i="1" s="1"/>
  <c r="D13" i="3" s="1"/>
  <c r="D12" i="3" s="1"/>
  <c r="D11" i="3" s="1"/>
  <c r="D10" i="3" s="1"/>
  <c r="C13" i="3" l="1"/>
  <c r="C12" i="3" s="1"/>
  <c r="C11" i="3" s="1"/>
  <c r="C10" i="3" s="1"/>
  <c r="D97" i="1"/>
  <c r="E97" i="1"/>
  <c r="E13" i="3"/>
  <c r="E12" i="3" s="1"/>
  <c r="E11" i="3" s="1"/>
  <c r="E10" i="3" s="1"/>
  <c r="D9" i="3"/>
  <c r="D8" i="3" s="1"/>
  <c r="C9" i="3" l="1"/>
  <c r="C8" i="3" s="1"/>
  <c r="J9" i="3" s="1"/>
  <c r="J10" i="3" s="1"/>
  <c r="E9" i="3"/>
  <c r="E8" i="3" s="1"/>
</calcChain>
</file>

<file path=xl/comments1.xml><?xml version="1.0" encoding="utf-8"?>
<comments xmlns="http://schemas.openxmlformats.org/spreadsheetml/2006/main">
  <authors>
    <author>Автор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+ 9,0 т.р. На больничный</t>
        </r>
      </text>
    </comment>
    <comment ref="J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240449,62*3
=
721 348,86</t>
        </r>
      </text>
    </comment>
  </commentList>
</comments>
</file>

<file path=xl/comments10.xml><?xml version="1.0" encoding="utf-8"?>
<comments xmlns="http://schemas.openxmlformats.org/spreadsheetml/2006/main">
  <authors>
    <author>Автор</author>
  </authors>
  <commentLis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Обязательно равна сумме ожидаемых поступлений на год</t>
        </r>
      </text>
    </comment>
    <comment ref="F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фактический остаток средств дорожного фонда МО
+
превышение ожидаемого поступления акцизов</t>
        </r>
      </text>
    </comment>
  </commentList>
</comments>
</file>

<file path=xl/comments11.xml><?xml version="1.0" encoding="utf-8"?>
<comments xmlns="http://schemas.openxmlformats.org/spreadsheetml/2006/main">
  <authors>
    <author>Автор</author>
  </authors>
  <commentLis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примерная сумма на оплату договоров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27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по МТ от района + расчет ком услуг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1 681 953,84 рублей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Северное Управление по гидрометеорологии и мониторингу окружающей среды</t>
        </r>
      </text>
    </comment>
    <comment ref="C1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02.12.19г. Аренда
</t>
        </r>
        <r>
          <rPr>
            <b/>
            <sz val="9"/>
            <color indexed="81"/>
            <rFont val="Tahoma"/>
            <family val="2"/>
            <charset val="204"/>
          </rPr>
          <t>15 555,00 рублей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A18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выплату заработной платы, осуществляемые на основе договоров (контрактов), в соответствии с законодательством Российской Федерации о государственной (муниципальной) службе, трудовым законодательством, в том числе:
выплаты:
- по должностным окладам, по ставкам заработной платы, по почасовой оплате, по воинским и специальным званиям;
- за работу в ночное время, праздничные и выходные дни;
- за работу с вредными и (или) опасными и иными особыми условиями труда;
- за сверхурочную работу;
- подросткам, принимаемым на временные рабочие места;
- преподавателям, являющимся штатными сотрудниками, в связи с проведением учебной практики и работой на стажерских площадках в рамках выполнения ими служебных обязанностей, предусмотренных условиями трудового договора;
- сотрудникам, призванным на военные сборы;
- осужденным, работающим на штатных должностях в исправительных учреждениях, исполняющих наказания;
- за время вынужденного прогула;
надбавки:
- за выслугу лет;
- за особые условия государственной гражданской и иной службы;
- за работу со сведениями, составляющими государственную тайну;
- за квалификационный разряд (классный чин, дипломатический ранг, за классность по специальности);
- за работу и стаж работы в местностях с особыми климатическими условиями, в пустынных, безводных местностях, в высокогорных районах, в районах Крайнего Севера и приравненных к ним местностях, в южных районах Сибири и Дальнего Востока;
- за сложность, напряженность, специальный режим работы;
- за шифровальную работу, за знание иностранного языка, ученую степень, ученое звание, должности доцента и профессора;
оплата отпусков:
- ежегодных отпусков, в том числе компенсация за неиспользованный отпуск;
- дополнительного оплачиваемого отпуска гражданам, подвергшимся воздействию радиации вследствие катастрофы на Чернобыльской АЭС;
- отпусков за период обучения персонала, направленного на профессиональную подготовку, повышение квалификации или обучение другим профессиям;
иные выплаты:
- единовременного пособия военнослужащему Вооруженных Сил Российской Федерации при заключении контракта, включаемого в состав выплат по денежному довольствию;
- выплаты поощрительного, стимулирующего характера, в том числе вознаграждения по итогам работы за год, премии;
- выплата денежных средств за участие в боевых действиях;
- выплата за дни медицинского обследования, сдачи крови и отдыха, предоставляемые персоналу - донорам крови;
- выплата за дни участия в выполнении государственных или общественных обязанностей;
- выплата материальной помощи за счет фонда оплаты труда;
другие аналогичные расходы.
Кроме того, на данную подстатью относятся расходы по выплате удержаний, произведенных с заработной платы, к которым, в том числе относятся:
- оплата услуг кредитных организаций по зачислению денежных средств на лицевые счета персонала, открытые в кредитных организациях, за счет средств персонала путем удержания работодателем необходимой для оплаты услуги суммы из заработной платы персонала на основании их заявлений, а также оплата почтового сбора;
- перечисления денежных средств профсоюзным организациям (членские профсоюзные взносы);
- налог на доходы физических лиц;
- удержания по исполнительным документам, в том числе на оплату алиментов;
- возмещение материального ущерба, причиненного персоналом организации;
- иные удержания в рамках исполнительного производства.</t>
        </r>
      </text>
    </comment>
    <comment ref="A19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по оплате работодателем в пользу персонала и (или) их иждивенцев, не относящихся к заработной плате дополнительных выплат и пособий (за исключением компенсаций расходов персонала), обусловленных условиями трудовых отношений, статусом работников (сотрудников), в том числе:
- подъемное пособие при переезде на новое место службы военнослужащим и приравненным к ним лицам;
- подъемное пособие при переезде на новое место работы (службы) лицам, работающим в районах Крайнего Севера и приравненных к ним местностях, судьям, работникам загранучреждений и другим работникам в соответствии с законодательством Российской Федерации;
- единовременное пособие при перезаключении трудового договора;
- возмещение персоналу дополнительных расходов, связанных с проживанием вне места постоянного жительства в служебных командировках (суточные, в том числе выплаты взамен суточных членам экипажей судов заграничного плавания);
- продовольственно-путевые, полевые деньги;
- выплата на первоначальное обзаведение хозяйством сотрудникам учреждений, исполняющих наказания;
- премирование персонала за сбор и сдачу лома и отходов драгоценных металлов и природных алмазов в соответствии с постановлением Правительства Российской Федерации от 5 апреля 1993 года N 288 "О размерах средств на премирование за сбор и сдачу лома и отходов драгоценных металлов и природных алмазов" (Российская газета, 1993, N 72);
- выплаты депутатам, осуществляющим депутатскую деятельность на постоянной основе;
- ежемесячные денежные выплаты членам государственных академий наук;
- выплата стипендий ученым, научным работникам, работникам организаций оборонно-промышленного комплекса;
- другие аналогичные выплаты и пособия персоналу.
</t>
        </r>
      </text>
    </comment>
    <comment ref="A22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по оплате работодателем в пользу персонала и (или) их иждивенцев, не относящихся к заработной плате компенсаций (возмещений) их расходов, обусловленных условиями трудовых отношений, статусом работников (сотрудников), в том числе:
- компенсация расходов на оплату стоимости проезда и провоза багажа к месту использования отпуска и обратно для лиц, работающих в районах Крайнего Севера и приравненных к ним местностях, и членов их семей;
- компенсация (возмещение) расходов по проезду и провозу багажа работника и членов его семьи, заключившего трудовой договор о работе в организации, расположенной в районе Крайнего Севера и приравненных к ним местностях, и прибывшего из другого региона Российской Федерации;
- компенсация расходов, связанных с проездом и провозом багажа при переезде из районов Крайнего Севера к новому месту жительства в другую местность в связи с расторжением трудового договора, лицам, работающим в районах Крайнего Севера, приравненных к ним местностях с неблагоприятными климатическими или экологическими условиями, в том числе отдаленных;
- компенсация (возмещение) расходов по оплате или оплата проезда к месту проведения отпуска и обратно военнослужащим и приравненным к ним лицам, членам их семей;
- компенсация стоимости проезда к месту отпуска и обратно судьям;
- компенсация найма (поднайма) жилых помещений (за исключением служебных командировок) в установленных законодательством Российской Федерации случаях;
- иные аналогичные расходы.</t>
        </r>
      </text>
    </comment>
    <comment ref="A2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приобретение услуг связи, в том числе:
услуги почтовой связи:
- пересылка почтовых отправлений (включая расходы на упаковку почтового отправления);
- оплата маркированных почтовых уведомлений при пересылке отправлений с уведомлением;
- пересылка пенсий и пособий;
- пересылка почтовой корреспонденции с использованием франкировальной машины;
- приобретение почтовых марок и маркированных конвертов, маркированных почтовых бланков;
- абонентская плата за пользование почтовыми абонентскими ящиками;
услуги фельдъегерской и специальной связи;
услуги телефонно-телеграфной, факсимильной, сотовой, пейджинговой связи, радиосвязи, интернет-провайдеров:
- абонентская и повременная плата за использование линий связи;
- плата за предоставление доступа и использование линий связи, передачу данных по каналам связи;
- плата за регистрацию сокращенного телеграфного адреса, факсов, модемов и других средств связи;
- плата за подключение и абонентское обслуживание в системе электронного документооборота, в том числе с использованием сертифицированных средств криптографической защиты информации;
- плата за приобретение sim-карт для мобильных телефонов, карт оплаты услуг связи;
- плата за оказание услуг по бронированию сетевых ресурсов, необходимых для осуществления присоединения к сети общего пользования;
- оплата услуг связи в целях кабельного и спутникового телевидения;
- плата за предоставление детализированных счетов на оплату услуг связи, предусмотренное договором на оказание услуг связи;
- расходы арендатора по возмещению арендодателю стоимости услуг связи;
другие аналогичные расходы.</t>
        </r>
      </text>
    </comment>
    <comment ref="A26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приобретение транспортных услуг, в том числе:
провозная плата по договорам перевозки пассажиров и багажа:
- оказание услуг перевозки на основании договора автотранспортного обслуживания, в рамках которого к обязанностям исполнителя относятся, в том числе: техническое обслуживание предоставляемых автомобилей, ремонтные работы (включая диагностику и профилактические работы), осуществление заправки автомобилей, обеспечение горюче-смазочными материалами и запасными частями (при необходимости), осуществление персонального подбора водительского состава, поддержание транспортных средств в надлежащем санитарном состоянии;
- обеспечение должностных лиц проездными документами в служебных целях на все виды общественного транспорта, а также возмещение должностным лицам указанных расходов, в случае, если они не были обеспечены в установленном законодательством Российской Федерации порядке проездными документами;
- расходы по оплате договоров гражданско-правового характера по оказанию услуг по проезду к месту служебной командировки и обратно к месту постоянной работы транспортом общего пользования;
- оплата проезда и услуг, в том числе компенсация (возмещение расходов) по перевозке личного имущества при переезде на новое место службы военнослужащим и приравненным к ним лицам;
- оплата проезда к месту нахождения учебного заведения и обратно персоналу, совмещающему работу с обучением в образовательных учреждениях;
- обеспечение проездными билетами свидетелей, вызываемых следственными или судебными органами, а также возмещение указанных расходов;
- оплата услуг по перевозке спецконтингентов, перевозке осужденных, освобождаемых от ограничения свободы, ареста или лишения свободы на определенный срок, к месту жительства;
- оплата услуг по перевозке несовершеннолетних, самовольно ушедших из семей, детских домов, школ-интернатов, специальных учебно-воспитательных и иных детских учреждений, и сопровождающих их лиц;
плата за перевозку (доставку) грузов (отправлений) по соответствующим договорам перевозки (доставки, фрахтования):
- оплата услуг по перевозке имущества, изъятого или задержанного;
- оплата услуг по перевозке служебных животных;
- оплата услуг по транспортировке источников радиоактивного излучения;
- оплата услуг по доставке специального топлива и горюче-смазочных материалов;
- оплата договоров транспортно-экспедиционных услуг (услуги по организации перевозки груза, заключению договоров перевозки груза, обеспечению отправки и получения груза, а также иные услуги, связанные с перевозкой груза);
- оплата договоров гражданско-правового характера, заключенных с физическими лицами, на оказание транспортных услуг;
- оплата услуг, связанных с заключением перевозчиками договоров страхования во исполнение требований законодательства Российской Федерации о страховании, международных договоров Российской Федерации, являющимися условием осуществления деятельности по перевозкам;
- оплата услуг по комплексному обслуживанию флота (прием хозяйственно-фекальных стоков, пищевых отходов и сухого мусора, а также подсланевых вод с судов, снабжение их питьевой водой у причала, подход топливозаправщика к судну и иное);
другие аналогичные расходы.
Кроме того, на данную подстатью относятся расходы на компенсацию за использование личного транспорта для служебных целей.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приобретение коммунальных услуг, в том числе:
оплата услуг отопления, горячего и холодного водоснабжения, водоотведения, предоставления газа и электроэнергии, тепловой энергии, твердого топлива при наличии печного отопления, обращения с твердыми коммунальными отходами:
- оплата по тарифам за коммунальные услуги;
- оплата услуг канализации, ассенизации;
- расходы на оплату энергосервисных договоров (контрактов);
другие расходы по оплате коммунальных услуг:
- расходы по оплате договоров гражданско-правового характера, заключенных с кочегарами и сезонными истопниками;
- оплата технологических нужд (работ, связанных с предоставлением коммунальных услуг, носящих регламентированный условиями предоставления коммунальных услуг характер (определенный перечень работ и периодичность их выполнения), включенных в обязательства сторон по договору на приобретение коммунальных услуг);
- оплата транспортировки газа, воды, электричества по водо-, газораспределительным и электрическим сетям;
- расходы по оплате договоров на вывоз жидких бытовых отходов при отсутствии централизованной системы канализации;
- расходы арендатора по возмещению арендодателю стоимости коммунальных услуг;
другие аналогичные расходы.</t>
        </r>
      </text>
    </comment>
    <comment ref="A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расходы по оплате договоров на выполнение работ, оказание услуг, связанных с содержанием (работы и услуги, осуществляемые с целью поддержания и (или) восстановления функциональных, пользовательских характеристик объекта), обслуживанием, ремонтом нефинансовых активов, полученных в аренду или безвозмездное пользование, находящихся на праве оперативного управления и в государственной казне Российской Федерации, субъекта Российской Федерации, казне муниципального образования, в том числе на:
содержание нефинансовых активов в чистоте:
- уборку снега, мусора;
- вывоз снега, отходов производства (в том числе, медицинских и радиационно-опасных), включая расходы на оплату договоров, предметом которых является вывоз и утилизация отходов производства в случае, если осуществление действий, направленных на их дальнейшую утилизацию (размещение, захоронение), согласно условиям договора, осуществляет исполнитель;
- дезинфекцию, дезинсекцию, дератизацию, газацию (дегазацию);
- санитарно-гигиеническое обслуживание, мойку и чистку (химчистку) имущества (транспорта, помещений, окон и иного имущества), натирку полов, прачечные услуги;
ремонт (текущий и капитальный) и реставрацию нефинансовых активов:
- устранение неисправностей (восстановление работоспособности) отдельных объектов нефинансовых активов, а также объектов и систем (охранная, пожарная сигнализация, система вентиляции и тому подобное), входящих в состав отдельных объектов нефинансовых активов;
- поддержание технико-экономических и эксплуатационных показателей объектов нефинансовых активов (срок полезного использования, мощность, качество применения, количество и площадь объектов, пропускная способность и тому подобное) на изначально предусмотренном уровне;
- проведение некапитальной перепланировки помещений;
- реставрация музейных предметов и музейных коллекций, включенных в состав музейных фондов;
- проведение работ по реставрации нефинансовых активов, за исключением работ, носящих характер реконструкции, модернизации, дооборудования;
- восстановление эффективности функционирования объектов и систем, гидродинамическая, гидрохимическая очистка, осуществляемые помимо технологических нужд (работы, осуществляемые поставщиком коммунальных услуг, исходя из условий договора поставки коммунальных услуг), расходы на оплату которых, относятся на подстатью 223 "Коммунальные услуги" КОСГУ;
противопожарные мероприятия, связанные с содержанием имущества:
- огнезащитную обработку;
- зарядку огнетушителей;
- установку противопожарных дверей (замену дверей на противопожарные);
- измерение сопротивления изоляции электропроводки, испытание устройств защитного заземления;
- проведение испытаний пожарных кранов;
пусконаладочные работы:
- пусконаладочные работы "под нагрузкой" (расходы некапитального характера, осуществляемые при эксплуатации объектов нефинансовых активов);
расходы на оплату работ (услуг), осуществляемые в целях соблюдения нормативных предписаний по эксплуатации (содержанию) имущества, а также в целях определения его технического состояния:
- государственную поверку, паспортизацию, клеймение средств измерений, в том числе весового хозяйства, манометров, термометров медицинских, уровнемеров, приборов учета, перепадомеров, измерительных медицинских аппаратов, спидометров;
- обследование технического состояния (аттестация) объектов нефинансовых активов, осуществляемое в целях получения информации о необходимости проведения и объемах ремонта, определения возможности дальнейшей эксплуатации (включая, диагностику автотранспортных средств, в том числе при государственном техническом осмотре), ресурса работоспособности;
- энергетическое обследование;
- проведение бактериологических исследований воздуха в помещениях, а также проведение бактериологических исследований иных нефинансовых активов (перевязочного материала, инструментов и тому подобное);
- замазку, оклейку окон;
- услуги по организации питания животных, находящихся в оперативном управлении, а также их ветеринарное обслуживание;
- заправку картриджей;
другие аналогичные расходы.</t>
        </r>
      </text>
    </comment>
    <comment ref="A36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выполнение работ, оказание услуг, не отнесенных на подстатьи 221 - 225, 227 - 229 КОСГУ, в том числе:
научно-исследовательские, опытно-конструкторские, опытно-технологические, геолого-разведочные работы, услуги по типовому проектированию, проектные и изыскательские работы:
- межевание границ земельных участков;
- работы по типовому проектированию;
- разработка проектной и сметной документации для ремонта объектов нефинансовых активов;
услуги в области информационных технологий:
- приобретение неисключительных прав на результаты интеллектуальной деятельности, в том числе приобретение пользовательских, лицензионных прав на программное обеспечение, приобретение и обновление справочно-информационных баз данных;
- обеспечение безопасности информации и режимно-секретных мероприятий;
- услуги по защите электронного документооборота (поддержке программного продукта) с использованием сертификационных средств криптографической защиты информации;
- периодическая проверка (в том числе аттестация) объекта информатизации (автоматизированного рабочего места) на соответствие специальным требованиям и рекомендациям по защите информации, составляющей государственную тайну, от утечки по техническим каналам;
медицинские услуги (в том числе диспансеризация, медицинский осмотр и освидетельствование работников (включая предрейсовые осмотры водителей), состоящих в штате учреждения, проведение медицинских анализов);
иные работы и услуги:
- проведение государственной экспертизы проектной документации, осуществление строительного контроля, включая авторский надзор за капитальным ремонтом объектов капитального строительства, оплата демонтажных работ (снос строений, перенос коммуникаций и тому подобное);
- услуги по предоставлению выписок из государственных реестров;
- подписка на периодические и справочные издания, в том числе для читальных залов библиотек, с учетом доставки подписных изданий, если она предусмотрена в договоре подписки;
- услуги по курьерской доставке;
- расходы по оплате договоров гражданско-правового характера, предметом которых является оказание услуг по руководству практикой студентов образовательных учреждений высшего образования;
- расходы на оплату услуг по организации питания;
- расходы по оплате договоров гражданско-правового характера на оказание услуг по проживанию в жилых помещениях (найм жилого помещения) на период соревнований, учебной практики;
- оплата за проживание в жилых помещениях понятых, а также иных лиц, принудительно доставленных в суд или к судебному приставу-исполнителю;
- работы по распиловке, колке и укладке дров;
- услуги и работы по утилизации, захоронению отходов;
- работы по присоединению к сетям инженерно-технического обеспечения, по увеличению потребляемой мощности;
- нотариальные услуги (взимание нотариального тарифа за совершение нотариальных действий), за исключением случаев, когда за совершение нотариальных действий предусмотрено взимание государственной пошлины;
- услуги и работы по организации участия в выставках, конференциях, форумах, семинарах, совещаниях, тренингах, соревнованиях и тому подобное (в том числе взносы за участие в указанных мероприятиях);
- услуги по обучению на курсах повышения квалификации, подготовки и переподготовки специалистов;
- выплаты возмещений и компенсаций, связанных с депутатской деятельностью депутатам законодательного собрания, для которых депутатская деятельность не является основной;
- выплаты присяжным, народным, арбитражным заседателям, участвующим в судебном процессе, а также адвокатам в установленном законодательством Российской Федерации порядке;
- оплата юридических и адвокатских услуг, в том числе связанных с представлением интересов Российской Федерации в международных судебных и иных юридических спорах;
- услуги, оказываемые в рамках договора комиссии;
- представительские расходы, прием и обслуживание делегаций;
- оплата работ, услуг в рамках проведения оперативно-розыскных мероприятий;
- расходы, связанные с обеспечением защиты безопасности государства от внешних угроз;
- оплата работ, услуг на проведение отдельных мероприятий в сфере национальной обороны, национальной безопасности, исследований и использования космического пространства, правоохранительной деятельности, развития оборонно-промышленного комплекса и мероприятий по ликвидации последствий деятельности объектов по хранению химического оружия и объектов по уничтожению химического оружия;
другие аналогичные расходы.
Также на данную подстатью относятся расходы на:
возмещение персоналу расходов, связанных со служебными командировками:
- по проезду к месту служебной командировки и обратно к месту постоянной работы транспортом общего пользования, соответственно, к станции, пристани, аэропорту и от станции, пристани, аэропорта, если они находятся за чертой населенного пункта, при наличии документов (билетов), подтверждающих эти расходы;
- по найму жилых помещений;
- по иным расходам, произведенным работником в служебной командировке с разрешения или ведома работодателя в соответствии с коллективным договором или локальным актом работодателя;
возмещение персоналу расходов на прохождение медицинского осмотра;
компенсация за содержание служебных собак по месту жительства;
компенсация стоимости вещевого имущества;
выплата суточных понятым, а также лицам, принудительно доставленным в суд или к судебному приставу-исполнителю;
выплата суточных, а также денежных средств на питание (при невозможности приобретения услуг по его организации), а также компенсация расходов на проезд и проживание в жилых помещениях (найм жилого помещения) спортсменам и студентам при их направлении на различного рода мероприятия (соревнования, олимпиады, учебную практику и иные мероприятия).
Кроме того, на данную подстатью КОСГУ относятся расходы бюджетов территориальных фондов обязательного медицинского страхования, связанные с направлением страховым компаниям средств на ведение дел по обязательному медицинскому страхованию.</t>
        </r>
      </text>
    </comment>
    <comment ref="A4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бюджетов бюджетной системы Российской Федерации на предоставление безвозмездных и безвозвратных трансфертов (субсидий) нефинансовым организациям государственного сектора на производство.</t>
        </r>
      </text>
    </comment>
    <comment ref="A49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ПЕНСИИ</t>
        </r>
      </text>
    </comment>
    <comment ref="A51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пособия за первые три дня временной нетрудоспособности за счет средств работодателя, в случае заболевания работника или полученной им травмы (за исключением несчастных случаев на производстве и профессиональных заболеваний);</t>
        </r>
      </text>
    </comment>
    <comment ref="A53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- НДС и налог на прибыль (в части обязательств государственных (муниципальных) казенных учреждений);
- налог на имущество;
- земельного налога, в том числе в период строительства объекта;</t>
        </r>
      </text>
    </comment>
    <comment ref="A54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уплате штрафов, пеней за несвоевременную уплату налогов, сборов, страховых взносов</t>
        </r>
      </text>
    </comment>
    <comment ref="A5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оплате штрафов за нарушение законодательства Российской Федерации о закупках товаров, работ и услуг, а также уплате штрафных санкций за нарушение условий контрактов (договоров) по поставке товаров, выполнению работ, оказанию услуг.</t>
        </r>
      </text>
    </commen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осуществлению иных выплат юридическим лицам, не являющихся субсидиями в соответствии с бюджетным законодательством Российской Федерации, в том числе:
- возмещение вреда, причиненного юридическому лицу в результате незаконных действий (бездействия) органов государственной власти (государственных органов), органов местного самоуправления, либо должностных лиц этих органов;
- отчисления денежных средств профсоюзным организациям на культурно-массовую и физкультурную работу;
- возмещение истцам (юридическим лицам) судебных издержек на основании вступивших в законную силу судебных актов;
- взносы за членство в организациях, кроме членских взносов в международные организации;
- иные аналогичные расходы.</t>
        </r>
      </text>
    </comment>
    <comment ref="A57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- выплаты бывшим работникам государственных (муниципальных) учреждений к памятным датам, профессиональным праздникам и тому подобное;
- выплаты физическим лицам (за исключением физических лиц - производителей товаров, работ, услуг) государственных премий, грантов, денежных компенсаций, надбавок, иных выплат;
- выплаты государственных премий, грантов в различных областях;</t>
        </r>
      </text>
    </comment>
    <comment ref="A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осуществлению иных выплат юридическим лицам, не являющихся субсидиями в соответствии с бюджетным законодательством Российской Федерации, в том числе:
- возмещение вреда, причиненного юридическому лицу в результате незаконных действий (бездействия) органов государственной власти (государственных органов), органов местного самоуправления, либо должностных лиц этих органов;
- отчисления денежных средств профсоюзным организациям на культурно-массовую и физкультурную работу;
- возмещение истцам (юридическим лицам) судебных издержек на основании вступивших в законную силу судебных актов;
- взносы за членство в организациях, кроме членских взносов в международные организации;
- иные аналогичные расходы.</t>
        </r>
      </text>
    </comment>
    <comment ref="A60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оплате государственных (муниципальных) контрактов, договоров на строительство, приобретение (изготовление) объектов, относящихся к основным средствам, а также на реконструкцию, техническое перевооружение, расширение, модернизацию (модернизацию с дооборудованием) основных средств, находящихся в государственной, муниципальной собственности, полученных в аренду или безвозмездное пользование.</t>
        </r>
      </text>
    </comment>
    <comment ref="A62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На подстатью 343 "Увеличение стоимости горюче-смазочных материалов" КОСГУ относятся расходы по оплате договоров на приобретение (изготовление) горюче-смазочных материалов, в том числе все виды топлива, горючего и смазочных материалов.</t>
        </r>
      </text>
    </comment>
    <comment ref="A63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оплате договоров на приобретение (изготовление) прочих объектов, относящихся к материальным запасам, в том числе:
- запасных и (или) составных частей для машин,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 и тому подобное;
- спецоборудования для научно-исследовательских и опытно-конструкторских работ;
- кухонного инвентаря;
- кормов, средств ухода, дрессировки, экипировки животных;
- материальных запасов в составе имущества казны, в том числе входящих в государственный материальный резерв;
- бланочной продукции (за исключением бланков строгой отчетности);
- другие аналогичные расходы</t>
        </r>
      </text>
    </comment>
    <comment ref="A64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(изготовление) подарочной и сувенирной продукции, не предназначенной для дальнейшей перепродажи, в том числе:
- поздравительных открыток и вкладышей к ним;
- приветственных адресов, почетных грамот, благодарственных писем, дипломов и удостоверений лауреатов конкурсов для награждения и тому подобное;
- цветов;
приобретение (изготовление) специальной продукции;
приобретение (изготовление) бланков строгой отчетности;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J9" authorId="0">
      <text>
        <r>
          <rPr>
            <b/>
            <sz val="8"/>
            <color indexed="81"/>
            <rFont val="Tahoma"/>
            <family val="2"/>
            <charset val="204"/>
          </rPr>
          <t>Аппарат представительного органа
92.2.00.91010</t>
        </r>
      </text>
    </comment>
    <comment ref="J15" authorId="0">
      <text>
        <r>
          <rPr>
            <b/>
            <sz val="8"/>
            <color indexed="81"/>
            <rFont val="Tahoma"/>
            <family val="2"/>
            <charset val="204"/>
          </rPr>
          <t>Аппарат представительного органа
92.2.00.91010</t>
        </r>
      </text>
    </comment>
    <comment ref="J16" authorId="0">
      <text>
        <r>
          <rPr>
            <b/>
            <sz val="8"/>
            <color indexed="81"/>
            <rFont val="Tahoma"/>
            <family val="2"/>
            <charset val="204"/>
          </rPr>
          <t>Депутаты представительного органа
92.1.00.91010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H5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Расчеты к сметам\Расчет командировочных</t>
        </r>
      </text>
    </comment>
    <comment ref="H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Расчеты к сметам\Расчет по 01 04</t>
        </r>
      </text>
    </comment>
    <comment ref="H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Расчеты к сметам\Расчет по 01 04</t>
        </r>
      </text>
    </comment>
  </commentList>
</comments>
</file>

<file path=xl/comments8.xml><?xml version="1.0" encoding="utf-8"?>
<comments xmlns="http://schemas.openxmlformats.org/spreadsheetml/2006/main">
  <authors>
    <author>Автор</author>
  </authors>
  <commentLis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переподготовка Главного бухгалтера</t>
        </r>
      </text>
    </commen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"Центр квалификационной поддержки "ВЕКТОР"</t>
        </r>
      </text>
    </comment>
    <comment ref="B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"Центр квалификационной поддержки "ВЕКТОР"</t>
        </r>
      </text>
    </comment>
    <comment ref="B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"Центр квалификационной поддержки "ВЕКТОР"</t>
        </r>
      </text>
    </comment>
  </commentList>
</comments>
</file>

<file path=xl/comments9.xml><?xml version="1.0" encoding="utf-8"?>
<comments xmlns="http://schemas.openxmlformats.org/spreadsheetml/2006/main">
  <authors>
    <author>Автор</author>
  </authors>
  <commentLis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</commentList>
</comments>
</file>

<file path=xl/sharedStrings.xml><?xml version="1.0" encoding="utf-8"?>
<sst xmlns="http://schemas.openxmlformats.org/spreadsheetml/2006/main" count="4470" uniqueCount="951">
  <si>
    <t>К проекту среднесрочного финансового плана</t>
  </si>
  <si>
    <t xml:space="preserve">Доходы местного бюджета </t>
  </si>
  <si>
    <t>Единица измерения: тыс. руб.</t>
  </si>
  <si>
    <t>Код бюджетной классификации РФ</t>
  </si>
  <si>
    <t>Наименование статьи доходов</t>
  </si>
  <si>
    <t>Плановый период</t>
  </si>
  <si>
    <t>Доходы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</si>
  <si>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</si>
  <si>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</si>
  <si>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</si>
  <si>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</si>
  <si>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</si>
  <si>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</si>
  <si>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</si>
  <si>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</si>
  <si>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</si>
  <si>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</si>
  <si>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</si>
  <si>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</si>
  <si>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</si>
  <si>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</si>
  <si>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</si>
  <si>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</si>
  <si>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</si>
  <si>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</si>
  <si>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</si>
  <si>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</si>
  <si>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</si>
  <si>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</si>
  <si>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182 1 05 01011 01 0000 110</t>
  </si>
  <si>
    <t>000 1 06 00000 00 0000 000</t>
  </si>
  <si>
    <t>Налоги на имущество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</si>
  <si>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</si>
  <si>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</si>
  <si>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</si>
  <si>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</si>
  <si>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</si>
  <si>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</si>
  <si>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</si>
  <si>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</si>
  <si>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</si>
  <si>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220 1 08 04020 01 0000 110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</si>
  <si>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</si>
  <si>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</si>
  <si>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</si>
  <si>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</si>
  <si>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</si>
  <si>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</si>
  <si>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</si>
  <si>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220 1 11 05035 10 0000 120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</si>
  <si>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</si>
  <si>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</si>
  <si>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</si>
  <si>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</si>
  <si>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220 1 11 09045 10 0000 120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</si>
  <si>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</si>
  <si>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</si>
  <si>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</si>
  <si>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</si>
  <si>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</si>
  <si>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</si>
  <si>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</si>
  <si>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220 1 14 02053 10 0000 440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</si>
  <si>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</si>
  <si>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000 1 16 00000 00 00000 000</t>
  </si>
  <si>
    <t>ШТРАФЫ, САНКЦИИ, ВОЗМЕЩЕНИЕ УЩЕРБА</t>
  </si>
  <si>
    <t>161 1 16 33050 10 0000 140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</si>
  <si>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</si>
  <si>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161 1 16 33050 10 6000 140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</si>
  <si>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</si>
  <si>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</si>
  <si>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</si>
  <si>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</si>
  <si>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</si>
  <si>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</si>
  <si>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</si>
  <si>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Прочие дотации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</si>
  <si>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</si>
  <si>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</si>
  <si>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Федерации, в том числе:</t>
  </si>
  <si>
    <t>Субвенций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</si>
  <si>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</si>
  <si>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</si>
  <si>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Иные межбюджетные трансферты                       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</si>
  <si>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</si>
  <si>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соглашениями, в том числе:</t>
  </si>
  <si>
    <t>Организация обучения неработающего населения в области гражданской обороны и защиты от чрезвычайных ситуаций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</si>
  <si>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</si>
  <si>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поселений, в том числе:</t>
  </si>
  <si>
    <r>
      <t xml:space="preserve"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 (ремонт и содержание </t>
    </r>
    <r>
      <rPr>
        <b/>
        <u/>
        <sz val="10"/>
        <rFont val="Calibri"/>
        <family val="2"/>
        <charset val="204"/>
      </rPr>
      <t>автомобильных дорог</t>
    </r>
    <r>
      <rPr>
        <sz val="10"/>
        <rFont val="Calibri"/>
        <family val="2"/>
        <charset val="204"/>
      </rPr>
      <t xml:space="preserve"> общего пользования местного значения)</t>
    </r>
  </si>
  <si>
    <t>Иные межбюджетные трансферты в рамках муниципальной программы "Комплексное развитие муниципального района "Заполярный район" на 2017-2022 годы", подпрограммы 5 "Развитие социальной инфраструктуры и создание комфортных условий проживания на территории муниципального района "Заполярный район", в том числе:</t>
  </si>
  <si>
    <r>
      <rPr>
        <b/>
        <u/>
        <sz val="10"/>
        <rFont val="Calibri"/>
        <family val="2"/>
        <charset val="204"/>
      </rPr>
      <t>Благоустройство</t>
    </r>
    <r>
      <rPr>
        <sz val="10"/>
        <rFont val="Calibri"/>
        <family val="2"/>
        <charset val="204"/>
      </rPr>
      <t xml:space="preserve"> территорий поселений</t>
    </r>
  </si>
  <si>
    <t>Уличное освещение</t>
  </si>
  <si>
    <t>Иные межбюджетные трансферты в рамках муниципальной программы "Развитие административной системы местного самоуправления муниципального района "Заполярный район" на 2017-2022 годы", подпрограммы 6 "Возмещение части затрат органов местного самоуправления поселений Ненецкого автономного округа", в том числе:</t>
  </si>
  <si>
    <r>
      <t xml:space="preserve">Расходы на оплату </t>
    </r>
    <r>
      <rPr>
        <b/>
        <u/>
        <sz val="10"/>
        <rFont val="Calibri"/>
        <family val="2"/>
        <charset val="204"/>
      </rPr>
      <t>коммунальных услуг</t>
    </r>
    <r>
      <rPr>
        <sz val="10"/>
        <rFont val="Calibri"/>
        <family val="2"/>
        <charset val="204"/>
      </rPr>
      <t xml:space="preserve"> и приобретение твердого топлива</t>
    </r>
  </si>
  <si>
    <t>Иные межбюджетные трансферты на организацию ритуальных услуг</t>
  </si>
  <si>
    <t>ВСЕГО доходов</t>
  </si>
  <si>
    <t>Наименование</t>
  </si>
  <si>
    <t>Глава</t>
  </si>
  <si>
    <t>Раздел</t>
  </si>
  <si>
    <t>Подраздел</t>
  </si>
  <si>
    <t>Целевая статья расходов</t>
  </si>
  <si>
    <t>Вид расходов</t>
  </si>
  <si>
    <t>Всего расходов</t>
  </si>
  <si>
    <t>Администрация муниципального образования «Поселок Амдерма»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</si>
  <si>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</si>
  <si>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</si>
  <si>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</si>
  <si>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</si>
  <si>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</si>
  <si>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</si>
  <si>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</si>
  <si>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</si>
  <si>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</si>
  <si>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</si>
  <si>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</si>
  <si>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</si>
  <si>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</si>
  <si>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</si>
  <si>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</si>
  <si>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</si>
  <si>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</si>
  <si>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</si>
  <si>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</si>
  <si>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</si>
  <si>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</si>
  <si>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</si>
  <si>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</si>
  <si>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</si>
  <si>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административной системы местного самоуправления муниципального района "Заполярный район" на 2017-2022 годы"</t>
  </si>
  <si>
    <t>31.0.00.00000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</si>
  <si>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</si>
  <si>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</si>
  <si>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r>
  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 </t>
    </r>
    <r>
      <rPr>
        <i/>
        <sz val="10"/>
        <rFont val="Calibri"/>
        <family val="2"/>
        <charset val="204"/>
      </rPr>
      <t>(Оплата коммунальных услуг здания Администрации)</t>
    </r>
  </si>
  <si>
    <t>31.6.00.89400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</si>
  <si>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</si>
  <si>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</si>
  <si>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</si>
  <si>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</si>
  <si>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</si>
  <si>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</si>
  <si>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</si>
  <si>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</si>
  <si>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</si>
  <si>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98.0.00.99110</t>
  </si>
  <si>
    <t>Межбюджетные трансферты</t>
  </si>
  <si>
    <t>500</t>
  </si>
  <si>
    <t xml:space="preserve">Резервные фонды                       </t>
  </si>
  <si>
    <t>11</t>
  </si>
  <si>
    <t>Резервный фонд местной администрации</t>
  </si>
  <si>
    <t>90.0.00.00000</t>
  </si>
  <si>
    <t>Резервный фонд</t>
  </si>
  <si>
    <t>90.0.00.90010</t>
  </si>
  <si>
    <t>Другие общегосударственные вопросы</t>
  </si>
  <si>
    <t>13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</si>
  <si>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</si>
  <si>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Выполнение переданных государственных полномочий</t>
  </si>
  <si>
    <t>95.0.00.00000</t>
  </si>
  <si>
    <t>Субвенции местным бюджетам на осуществление отдельных государственных полномочий НАО в сфере административных правонарушений</t>
  </si>
  <si>
    <t>95.0.00.79210</t>
  </si>
  <si>
    <t>Уплата членских взносов в Ассоциацию «Совет муниципальных образований Ненецкого автономного округа»</t>
  </si>
  <si>
    <t>98.0.00.91040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</si>
  <si>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</si>
  <si>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</si>
  <si>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</si>
  <si>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95.0.00.51180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</si>
  <si>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</si>
  <si>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</si>
  <si>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</si>
  <si>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33.0.00.00000</t>
  </si>
  <si>
    <t>33.0.00.89300</t>
  </si>
  <si>
    <t>Обеспечение пожарной безопасности</t>
  </si>
  <si>
    <t>10</t>
  </si>
  <si>
    <t>Национальная экономика</t>
  </si>
  <si>
    <t>Дорожное хозяйство (дорожные фонды)</t>
  </si>
  <si>
    <t>Муниципальная программа "Комплексное развитие муниципального района "Заполярный район" на 2017-2022 годы"</t>
  </si>
  <si>
    <t>32.0.00.00000</t>
  </si>
  <si>
    <t>Подпрограмма 2 "Развитие транспортной инфраструктуры муниципального района "Заполярный район"</t>
  </si>
  <si>
    <t>32.2.00.00000</t>
  </si>
  <si>
    <t>Иные межбюджетные трансферты в рамках подпрограммы 2 "Развитие транспортной инфраструктуры муниципального района "Заполярный район"</t>
  </si>
  <si>
    <t>32.2.00.89220</t>
  </si>
  <si>
    <t>Дорожный фонд муниципального образования</t>
  </si>
  <si>
    <t>98.0.00.93100</t>
  </si>
  <si>
    <t>Другие вопросы в области национальной экономики</t>
  </si>
  <si>
    <t>12</t>
  </si>
  <si>
    <t>Подпрограмма 5 "Развитие социальной инфраструктуры и создание комфортных условий проживания на территории муниципального района "Заполярный район"</t>
  </si>
  <si>
    <t>32.5.00.00000</t>
  </si>
  <si>
    <t>32.5.00.89250</t>
  </si>
  <si>
    <t>Жилищно-коммунальное хозяйство</t>
  </si>
  <si>
    <t>05</t>
  </si>
  <si>
    <t>Жилищное хозяйство</t>
  </si>
  <si>
    <t>Мероприятия в области жилищного хозяйства</t>
  </si>
  <si>
    <t>98.0.00.96100</t>
  </si>
  <si>
    <t>Коммунальное хозяйство</t>
  </si>
  <si>
    <t>Подпрограмма 4 "Энергоэффективность и развитие энергетики муниципального района "Заполярный район"</t>
  </si>
  <si>
    <t>32.4.00.00000</t>
  </si>
  <si>
    <t>32.4.00.89240</t>
  </si>
  <si>
    <t>Благоустройство</t>
  </si>
  <si>
    <t>Иные межбюджетные трансферты в рамках подпрограммы 5 "Развитие социальной инфраструктуры и создание комфортных условий проживания на территории муниципального района "Заполярный район"</t>
  </si>
  <si>
    <t>Другие вопросы в области жилищно-коммунального хозяйства</t>
  </si>
  <si>
    <t>98.0.00.89610</t>
  </si>
  <si>
    <t>Социальная политика</t>
  </si>
  <si>
    <t>Пенсионное обеспечение</t>
  </si>
  <si>
    <t xml:space="preserve">Подпрограмма 6 "Возмещение части затрат органов местного самоуправления поселений Ненецкого автономного округа" </t>
  </si>
  <si>
    <t>Социальное обеспечение и иные выплаты населению</t>
  </si>
  <si>
    <t>300</t>
  </si>
  <si>
    <t>98.0.00.94010</t>
  </si>
  <si>
    <t>Источники финансирования дефицита местного бюджета</t>
  </si>
  <si>
    <t>КБК источников внутреннего финансирования дефицитов бюджетов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</si>
  <si>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</si>
  <si>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</si>
  <si>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</si>
  <si>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</si>
  <si>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</si>
  <si>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</si>
  <si>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</si>
  <si>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</si>
  <si>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 xml:space="preserve">Увеличение прочих остатков денежных средств бюджетов </t>
  </si>
  <si>
    <t>000 01 05 02 01 00 0000 510</t>
  </si>
  <si>
    <t>Увеличение прочих остатков денежных средств бюджетов поселений</t>
  </si>
  <si>
    <t>220 01 05 02 01 10 0000 510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</si>
  <si>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</si>
  <si>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</si>
  <si>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</si>
  <si>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</si>
  <si>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</si>
  <si>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</si>
  <si>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поселений</t>
  </si>
  <si>
    <t>220 01 05 02 01 10 0000 610</t>
  </si>
  <si>
    <t>Расчет поступления налоговых и неналоговых доходов местного бюджета</t>
  </si>
  <si>
    <t>НАЛОГОВЫЕ ДОХОДЫ</t>
  </si>
  <si>
    <t>1. Налог на доходы физических лиц</t>
  </si>
  <si>
    <t>Расчет поступления НДФЛ</t>
  </si>
  <si>
    <t>Исполнение</t>
  </si>
  <si>
    <t>Год</t>
  </si>
  <si>
    <t>Норматив поступления, %</t>
  </si>
  <si>
    <t>Налоговая база, рублей</t>
  </si>
  <si>
    <t>НДФЛ, рублей</t>
  </si>
  <si>
    <t>Фактически исполнено за год</t>
  </si>
  <si>
    <t>Ожидаемое исполнение за год</t>
  </si>
  <si>
    <t>План на год</t>
  </si>
  <si>
    <t>БК РФ 2%
91-ОЗ (+5%)</t>
  </si>
  <si>
    <t>2. Акцизы по подакцизным товарам (продукции), производимым на территории Российской Федерации</t>
  </si>
  <si>
    <t>Проект бюджета на 2020 год, тыс. руб.</t>
  </si>
  <si>
    <t>Проект бюджета на 2021 год, тыс. руб.</t>
  </si>
  <si>
    <t>100 1 03 02230
 01 0000 110</t>
  </si>
  <si>
    <t>100 1 03 02240
 01 0000 110</t>
  </si>
  <si>
    <t>100 1 03 02250
 01 0000 110</t>
  </si>
  <si>
    <t>100 1 03 02260
 01 0000 110</t>
  </si>
  <si>
    <t>Итого</t>
  </si>
  <si>
    <t>3. Налог, взимаемый в связи с применением упрощенной системы налогообложения</t>
  </si>
  <si>
    <t>Сумма исчисленного налога за 2014 год (тыс.руб.)</t>
  </si>
  <si>
    <t>Сумма исчисленного налога за 2015 год (тыс.руб.)</t>
  </si>
  <si>
    <t>Сумма исчисленного налога за 2016 год (тыс.руб.)</t>
  </si>
  <si>
    <t>1 05 01000 00 0000 110</t>
  </si>
  <si>
    <t>1 05 01010 01 0000 110</t>
  </si>
  <si>
    <t>4. Земельный налог</t>
  </si>
  <si>
    <t>Расчет  поступления земельного налога</t>
  </si>
  <si>
    <t>№ п/п</t>
  </si>
  <si>
    <t>Налогоплательщик</t>
  </si>
  <si>
    <t>Кадастровый номер объекта</t>
  </si>
  <si>
    <t>Центральный банк РФ Главное управление по Архангельской области</t>
  </si>
  <si>
    <t xml:space="preserve">83:00:080008:118 </t>
  </si>
  <si>
    <t>1</t>
  </si>
  <si>
    <t>ФГБУ "Северное УГМС"</t>
  </si>
  <si>
    <t>83:00:080008:91</t>
  </si>
  <si>
    <t>2</t>
  </si>
  <si>
    <t>ФКП «Аэропорт Амдерма», в том числе:</t>
  </si>
  <si>
    <t>2.1</t>
  </si>
  <si>
    <t>83:00:080008:3</t>
  </si>
  <si>
    <t>2.2</t>
  </si>
  <si>
    <t>83:00:080008:35</t>
  </si>
  <si>
    <t>2.3</t>
  </si>
  <si>
    <t>83:00:080008:41</t>
  </si>
  <si>
    <t>2.4</t>
  </si>
  <si>
    <t>83:00:080008:42</t>
  </si>
  <si>
    <t>2.5</t>
  </si>
  <si>
    <t>83:00:080008:43</t>
  </si>
  <si>
    <t>2.6</t>
  </si>
  <si>
    <t>83:00:080008:50</t>
  </si>
  <si>
    <t>2.7</t>
  </si>
  <si>
    <t>83:00:080008:53</t>
  </si>
  <si>
    <t>2.8</t>
  </si>
  <si>
    <t>83:00:080008:55</t>
  </si>
  <si>
    <t>2.9</t>
  </si>
  <si>
    <t>83:00:080008:58</t>
  </si>
  <si>
    <t>2.10</t>
  </si>
  <si>
    <t>83:00:080008:114</t>
  </si>
  <si>
    <t>3</t>
  </si>
  <si>
    <t>ГБОУ НАО "Основная школа п. Амдерма"</t>
  </si>
  <si>
    <t>Х</t>
  </si>
  <si>
    <t>5. Государственная пошлина</t>
  </si>
  <si>
    <t>Расчет поступления государственной пошлины</t>
  </si>
  <si>
    <t>Государственная пошлина, рублей</t>
  </si>
  <si>
    <t>(среднее за 3 года)</t>
  </si>
  <si>
    <t>НЕНАЛОГОВЫЕ ДОХОДЫ</t>
  </si>
  <si>
    <t>6. Доходы от сдачи в аренду имущества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</si>
  <si>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</si>
  <si>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Расчет доходов от сдачи в аренду имущества</t>
  </si>
  <si>
    <t>Наименование организации</t>
  </si>
  <si>
    <t>Поступления, руб.</t>
  </si>
  <si>
    <t>в месяц</t>
  </si>
  <si>
    <t>в квартал</t>
  </si>
  <si>
    <t>2019 год</t>
  </si>
  <si>
    <t>ОАО «Сбербанк России», Ненецкое отделение</t>
  </si>
  <si>
    <t>КУЗ НАО МФЦ</t>
  </si>
  <si>
    <t>Библиотека</t>
  </si>
  <si>
    <t>ФГУП "Почта России"</t>
  </si>
  <si>
    <t>ООО "Заполярное"</t>
  </si>
  <si>
    <t>7. Прочие поступления от использования имущества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</si>
  <si>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</si>
  <si>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Поступления от платы за найм</t>
  </si>
  <si>
    <t>Сумма, рублей</t>
  </si>
  <si>
    <t>8. Доходы от продажи материальных и нематериальных активов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</si>
  <si>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</si>
  <si>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Расчет поступления доходов от реализации книг об Амдерме</t>
  </si>
  <si>
    <t>Цена, рублей</t>
  </si>
  <si>
    <t>Количество экземпляров, штук</t>
  </si>
  <si>
    <t>Стоимость, рублей</t>
  </si>
  <si>
    <t>Итого, рублей</t>
  </si>
  <si>
    <t>Остаток книг об Амдерме</t>
  </si>
  <si>
    <t>ДЕФИЦИТ бюджета</t>
  </si>
  <si>
    <t>Сборник "Здравствуй, Амдерма"</t>
  </si>
  <si>
    <t>Сборник стихов "Нам всегда возвращаться к тебе по заснеженной памяти"</t>
  </si>
  <si>
    <t>Финансист Администрации
МО «Поселок Амдерма» НАО</t>
  </si>
  <si>
    <t>Е.Н. Рыбалка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</si>
  <si>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 на совершение нотариальных действий</t>
  </si>
  <si>
    <t>У Т В Е Р Ж Д А Ю</t>
  </si>
  <si>
    <t>Глава МО "Поселок Амдерма" НАО</t>
  </si>
  <si>
    <t>(наименование должности)</t>
  </si>
  <si>
    <t>(подпись)</t>
  </si>
  <si>
    <t>(расшифровка подписи)</t>
  </si>
  <si>
    <t>БЮДЖЕТНАЯ СМЕТА</t>
  </si>
  <si>
    <t>КОДЫ</t>
  </si>
  <si>
    <t xml:space="preserve">Главный распорядитель средств бюджета     Администрация МО "Поселок Амдерма"     </t>
  </si>
  <si>
    <t>ОКПО</t>
  </si>
  <si>
    <r>
      <t>Получатель средств бюджета</t>
    </r>
    <r>
      <rPr>
        <sz val="9"/>
        <rFont val="Calibri"/>
        <family val="2"/>
        <charset val="204"/>
      </rPr>
      <t xml:space="preserve">                           </t>
    </r>
    <r>
      <rPr>
        <u/>
        <sz val="9"/>
        <rFont val="Calibri"/>
        <family val="2"/>
        <charset val="204"/>
      </rPr>
      <t>Администрация МО "Поселок Амдерма"</t>
    </r>
  </si>
  <si>
    <t>СРРПБС</t>
  </si>
  <si>
    <t>Единица измерения : тыс. руб.</t>
  </si>
  <si>
    <t>ОКЕИ</t>
  </si>
  <si>
    <t>Наименование экономической статьи</t>
  </si>
  <si>
    <t>Код</t>
  </si>
  <si>
    <t>Вид расхода</t>
  </si>
  <si>
    <t>КОСГУ</t>
  </si>
  <si>
    <t>суб КОСГУ</t>
  </si>
  <si>
    <t>000</t>
  </si>
  <si>
    <t>Заработная плата</t>
  </si>
  <si>
    <t>Командировочные расходы - суточные</t>
  </si>
  <si>
    <t>Командировочные расходы - проезд</t>
  </si>
  <si>
    <t>Командировочные расходы - проживание</t>
  </si>
  <si>
    <t>226</t>
  </si>
  <si>
    <t>Услуги связи</t>
  </si>
  <si>
    <t>Другие расходы по коду 222</t>
  </si>
  <si>
    <t>Коммунальные услуги</t>
  </si>
  <si>
    <t>Оплата потребления теплоэнергии</t>
  </si>
  <si>
    <t>Оплата потребления электроэнергии</t>
  </si>
  <si>
    <t>Оплата водоснабжения, канализации, ассенизации и др.</t>
  </si>
  <si>
    <t>055</t>
  </si>
  <si>
    <t>770</t>
  </si>
  <si>
    <t>Подписка на газеты и журналы</t>
  </si>
  <si>
    <t>042</t>
  </si>
  <si>
    <t>Другие услуги</t>
  </si>
  <si>
    <t>046</t>
  </si>
  <si>
    <t>049</t>
  </si>
  <si>
    <t>250</t>
  </si>
  <si>
    <t>251</t>
  </si>
  <si>
    <t>260</t>
  </si>
  <si>
    <t>Пенсии государственным и муниципальным служащим</t>
  </si>
  <si>
    <t>840</t>
  </si>
  <si>
    <t>ПРОЧИЕ РАСХОДЫ</t>
  </si>
  <si>
    <t>290</t>
  </si>
  <si>
    <t>Представительские расходы</t>
  </si>
  <si>
    <t>Увеличение стоимости основных средств</t>
  </si>
  <si>
    <t>310</t>
  </si>
  <si>
    <t>Прочие основные средства</t>
  </si>
  <si>
    <t>814</t>
  </si>
  <si>
    <t>540</t>
  </si>
  <si>
    <t>Итого расходов</t>
  </si>
  <si>
    <r>
      <t xml:space="preserve">Эту строку в решении не указываем.
</t>
    </r>
    <r>
      <rPr>
        <b/>
        <sz val="10"/>
        <rFont val="Calibri"/>
        <family val="2"/>
        <charset val="204"/>
      </rPr>
      <t>Указываем только обощающие строки "0000"</t>
    </r>
  </si>
  <si>
    <t>Налоги, пошлины и сборы</t>
  </si>
  <si>
    <t>Штрафы (по налогам и сборам, страх. взносам)</t>
  </si>
  <si>
    <t>Штрафы (гос. закупки, нарушение усл. контрактов)</t>
  </si>
  <si>
    <t>Социальные пособия и компенсации персоналу в денежной форме</t>
  </si>
  <si>
    <t>СВОДНАЯ</t>
  </si>
  <si>
    <t>Расчеты к бюджетной смете</t>
  </si>
  <si>
    <t>Расчет расходов по КОСГУ 211 "Заработная плата":</t>
  </si>
  <si>
    <t>ПФР</t>
  </si>
  <si>
    <t>ФФОМС</t>
  </si>
  <si>
    <t>ФСС РФ</t>
  </si>
  <si>
    <t>Суб КОСГУ</t>
  </si>
  <si>
    <t>Примечание</t>
  </si>
  <si>
    <t>Ограничение</t>
  </si>
  <si>
    <t>Итого по КОСГУ 211:</t>
  </si>
  <si>
    <t>отсутствует</t>
  </si>
  <si>
    <t>Расчет расходов по КОСГУ 213 "Начисления на оплату труда":</t>
  </si>
  <si>
    <t>Страховые взносы</t>
  </si>
  <si>
    <t>Итого по КОСГУ 213:</t>
  </si>
  <si>
    <t>Глава МО «Посёлок Амдерма» НАО</t>
  </si>
  <si>
    <t>Исполнитель: финансист</t>
  </si>
  <si>
    <t>Расчет расходов по КОСГУ 221 "Услуги связи":</t>
  </si>
  <si>
    <t xml:space="preserve">Кол-во </t>
  </si>
  <si>
    <t>Оплата на год</t>
  </si>
  <si>
    <t>Сумма (тыс.руб.)</t>
  </si>
  <si>
    <t>Абонентское обслуж. в системе электронного документооборота (Фалькон)</t>
  </si>
  <si>
    <t>Итого по КОСГУ 221:</t>
  </si>
  <si>
    <t>Расчет расходов по КОСГУ 226 "Прочие услуги":</t>
  </si>
  <si>
    <t>Средняя стоимость</t>
  </si>
  <si>
    <t>Опубликование информационного бюллетеня</t>
  </si>
  <si>
    <t>Ежемесячная денежная компенсация - возмещение расходов, связанных с депутатской деятельностью</t>
  </si>
  <si>
    <t>Итого по КОСГУ 226:</t>
  </si>
  <si>
    <t>Ед.изм.</t>
  </si>
  <si>
    <t>Кол-во</t>
  </si>
  <si>
    <t>ИПЦ</t>
  </si>
  <si>
    <t>Кол-во исполнителей</t>
  </si>
  <si>
    <t>121</t>
  </si>
  <si>
    <t>129</t>
  </si>
  <si>
    <t>244</t>
  </si>
  <si>
    <t>Кол-во сотрудников</t>
  </si>
  <si>
    <t>Количество сотрудников</t>
  </si>
  <si>
    <t>Год.ФОТ</t>
  </si>
  <si>
    <t>Несчастные случаи</t>
  </si>
  <si>
    <t>Сверх ограничения</t>
  </si>
  <si>
    <t>Расчет расходов по КОСГУ 212 "Прочие выплаты":</t>
  </si>
  <si>
    <t>Оплата льготного проезда</t>
  </si>
  <si>
    <t>Штанько</t>
  </si>
  <si>
    <t>Кол-во  сотрудников</t>
  </si>
  <si>
    <t>Кол-во суток пребыванияя в командировке</t>
  </si>
  <si>
    <t>Размер оплаты за 1 день</t>
  </si>
  <si>
    <t>Итого по КОСГУ 212:</t>
  </si>
  <si>
    <t>Итого по КОСГУ 214:</t>
  </si>
  <si>
    <t>Индекс- дефлятор</t>
  </si>
  <si>
    <t>ООО "РЦИТ" (услуги по обслуживанию сайта)</t>
  </si>
  <si>
    <t>Расчет расходов по КОСГУ 222 "Транспортные услуги":</t>
  </si>
  <si>
    <t>Кол-во  (кг)</t>
  </si>
  <si>
    <t>Ср.ст-ть кг или контейнера</t>
  </si>
  <si>
    <t>Трансп. расходы (авиарейсами)</t>
  </si>
  <si>
    <t>Итого по КОСГУ 222:</t>
  </si>
  <si>
    <t>Расчет расходов по КОСГУ 223 "Коммунальные услуги":</t>
  </si>
  <si>
    <t>Тариф с НДС, руб.</t>
  </si>
  <si>
    <t>Гкал</t>
  </si>
  <si>
    <t>куб.м</t>
  </si>
  <si>
    <t>Итого по КОСГУ 223:</t>
  </si>
  <si>
    <t>Расчет расходов по КОСГУ 225 "Услуги по содержанию имущества"</t>
  </si>
  <si>
    <t>Ср.стоимость, без НДС</t>
  </si>
  <si>
    <t>Итого по 225/055</t>
  </si>
  <si>
    <t>Кол-во платежей</t>
  </si>
  <si>
    <t>Снегоочистка вокруг здания администрации ГПХ</t>
  </si>
  <si>
    <t>Итого по 225/770</t>
  </si>
  <si>
    <t>Итого по КОСГУ 225:</t>
  </si>
  <si>
    <t>Расчет расходов по КОСГУ 226 "Прочие услуги"</t>
  </si>
  <si>
    <t>Ср. стоимость</t>
  </si>
  <si>
    <t>Итого по 226/042:</t>
  </si>
  <si>
    <t>Ср.стоимость</t>
  </si>
  <si>
    <t>Составление сметной документации</t>
  </si>
  <si>
    <t>ИП Филиппов Сопровождение 1С Бухгалтерия</t>
  </si>
  <si>
    <t>ООО "Эникод" (Антивирусная программа "Касперский")</t>
  </si>
  <si>
    <t>Итого по 226/046</t>
  </si>
  <si>
    <t>Стоимость курсов</t>
  </si>
  <si>
    <t>Итого по 226/049</t>
  </si>
  <si>
    <t>Праздн.открытки, почетные грамоты, благодарности</t>
  </si>
  <si>
    <t>Итого по КОСГУ 290:</t>
  </si>
  <si>
    <t>Расчет расходов по КОСГУ 310 "Увеличение стоимости основных средств":</t>
  </si>
  <si>
    <t>Итого по КОСГУ 310:</t>
  </si>
  <si>
    <t>ТМЦ</t>
  </si>
  <si>
    <t>Итого по КОСГУ 340:</t>
  </si>
  <si>
    <t>Расчет расходов по КОСГУ 214 "Прочие несоциальные выплаты персоналу в натуральной форме":</t>
  </si>
  <si>
    <t>Щипунова</t>
  </si>
  <si>
    <t>Сумма
(рублей)</t>
  </si>
  <si>
    <t>Потребление т/энергии (пустующие кв.)</t>
  </si>
  <si>
    <t>кВт</t>
  </si>
  <si>
    <t>Вневедомственная, охранная и пожарная сигнализация</t>
  </si>
  <si>
    <t>Размер оплаты</t>
  </si>
  <si>
    <t>Итого командировочные расходы по КОСГУ 226:</t>
  </si>
  <si>
    <t>Приём комиссий
(представительские расходы)</t>
  </si>
  <si>
    <t>Количество комиссий</t>
  </si>
  <si>
    <t>10 человек на 2 суток, по 300,00 руб.</t>
  </si>
  <si>
    <t>Итого по 226/845</t>
  </si>
  <si>
    <t>Расчет расходов по КОСГУ 266 "Социальные пособия и компенсации персоналу в денежной форме"</t>
  </si>
  <si>
    <t>Пособия за первые три дня временной нетрудоспособности за счет средств работодателя в случаях, когда работник заболел или получил травму</t>
  </si>
  <si>
    <t>Максимальная выплата на сотрудника</t>
  </si>
  <si>
    <t>Количество больничных</t>
  </si>
  <si>
    <t>Итого по КОСГУ 266:</t>
  </si>
  <si>
    <t>Расчет расходов по КОСГУ 290 "Прочие расходы" (обобщающий):</t>
  </si>
  <si>
    <t>Штрафы (по налогам, сборам, страховым взносам)</t>
  </si>
  <si>
    <t>122</t>
  </si>
  <si>
    <t>00.0.00.00000</t>
  </si>
  <si>
    <t>851</t>
  </si>
  <si>
    <t>Итого расходов по</t>
  </si>
  <si>
    <t>Расчет расходов по КОСГУ 251 "Перечисления другим бюджетам бюджетной системы РФ":</t>
  </si>
  <si>
    <t>Сумма платежа</t>
  </si>
  <si>
    <t>Резервный запас средств на случай возникновения непредвиденных обстоятельств</t>
  </si>
  <si>
    <t>Наименование показателя</t>
  </si>
  <si>
    <t>Наименование
показателя</t>
  </si>
  <si>
    <t>Расчет расходов по КОСГУ 296 "Иные расходы":</t>
  </si>
  <si>
    <t>870</t>
  </si>
  <si>
    <t>Итого по расчету на коммунальные услуги АУП:</t>
  </si>
  <si>
    <t>Потребление в год</t>
  </si>
  <si>
    <t>Годовое абонентское обслуживание тел.точки</t>
  </si>
  <si>
    <t>Приобретение ТМЦ, канцтоваров, бумаги, картриджей</t>
  </si>
  <si>
    <t>Средняя плата за квартал</t>
  </si>
  <si>
    <t>Итого по КОСГУ 296:</t>
  </si>
  <si>
    <t>Кол-во договоров</t>
  </si>
  <si>
    <t>Сумма договора</t>
  </si>
  <si>
    <t>Наименование    показателя (договора)</t>
  </si>
  <si>
    <t>853</t>
  </si>
  <si>
    <t>Средняя плата в месяц</t>
  </si>
  <si>
    <t>Интернет, телефонная связь</t>
  </si>
  <si>
    <t>Оплата труда внештатных работников</t>
  </si>
  <si>
    <t>Взносы</t>
  </si>
  <si>
    <t>Расчет расходов по КОСГУ 226 "Прочие работы, услуги":</t>
  </si>
  <si>
    <t>Расчет расходов по КОСГУ 225 "Услуги по содержанию имущества":</t>
  </si>
  <si>
    <t>Протяженность
дорог</t>
  </si>
  <si>
    <t>Сумма ассигнований</t>
  </si>
  <si>
    <t>18,752 км</t>
  </si>
  <si>
    <t>Ремонт и содержание автомобильных дорог общего пользования местного значения за счет средств ЗР</t>
  </si>
  <si>
    <t>Сумма отчислений</t>
  </si>
  <si>
    <r>
      <rPr>
        <b/>
        <sz val="9"/>
        <rFont val="Calibri"/>
        <family val="2"/>
        <charset val="204"/>
        <scheme val="minor"/>
      </rPr>
      <t>Остаток средств</t>
    </r>
    <r>
      <rPr>
        <sz val="9"/>
        <rFont val="Calibri"/>
        <family val="2"/>
        <charset val="204"/>
        <scheme val="minor"/>
      </rPr>
      <t xml:space="preserve"> дорожного фонда МО за предыдущий период</t>
    </r>
  </si>
  <si>
    <r>
      <t>Дорожный фонд МО (</t>
    </r>
    <r>
      <rPr>
        <b/>
        <sz val="9"/>
        <rFont val="Calibri"/>
        <family val="2"/>
        <charset val="204"/>
        <scheme val="minor"/>
      </rPr>
      <t>отчисления от акцизов по подакцизным товарам</t>
    </r>
    <r>
      <rPr>
        <sz val="9"/>
        <rFont val="Calibri"/>
        <family val="2"/>
        <charset val="204"/>
        <scheme val="minor"/>
      </rPr>
      <t>)</t>
    </r>
  </si>
  <si>
    <t>Расчет расходов по КОСГУ 225 "Работы, услуги по содержанию имущества":</t>
  </si>
  <si>
    <t>Ассигнования, выделенные ЗР, на уличное освещение</t>
  </si>
  <si>
    <t>730</t>
  </si>
  <si>
    <t>Ед. изм.</t>
  </si>
  <si>
    <t>Объём потребления</t>
  </si>
  <si>
    <t>Тариф</t>
  </si>
  <si>
    <t>Другие вопросы в области жилищно-коммунального хозяйства (ритуальные услуги)</t>
  </si>
  <si>
    <t>Кол-во месяцев</t>
  </si>
  <si>
    <t>1.1</t>
  </si>
  <si>
    <t>1.2</t>
  </si>
  <si>
    <t>%</t>
  </si>
  <si>
    <t>Ежемес.доплата</t>
  </si>
  <si>
    <t>1.3</t>
  </si>
  <si>
    <t>1.4</t>
  </si>
  <si>
    <t>1.5</t>
  </si>
  <si>
    <t>1.6</t>
  </si>
  <si>
    <t>1.7</t>
  </si>
  <si>
    <t>1.8</t>
  </si>
  <si>
    <t>Сумма на 2019 год</t>
  </si>
  <si>
    <t>Доплаты к пенсии (ассигнования от ЗР)</t>
  </si>
  <si>
    <t>Доплата Лазарева М.Д.</t>
  </si>
  <si>
    <t>Доплата Чунихин В.В.</t>
  </si>
  <si>
    <t>Доплата Петрова Н.С.</t>
  </si>
  <si>
    <t>Доплата Соболева С.М.</t>
  </si>
  <si>
    <t>Доплата Хлынова В.Н.</t>
  </si>
  <si>
    <t>Доплата Симонова Е.В.</t>
  </si>
  <si>
    <t>Доплата Жашков М.А.</t>
  </si>
  <si>
    <t>Доплата Фаезова Л.В.</t>
  </si>
  <si>
    <t>312</t>
  </si>
  <si>
    <r>
      <t xml:space="preserve">Закупка товаров, работ и услуг для обеспечения государственных (муниципальных) нужд
</t>
    </r>
    <r>
      <rPr>
        <i/>
        <sz val="10"/>
        <color rgb="FFFF0000"/>
        <rFont val="Calibri"/>
        <family val="2"/>
        <charset val="204"/>
      </rPr>
      <t>(Уличное освещение)</t>
    </r>
  </si>
  <si>
    <t>Резервные фонды</t>
  </si>
  <si>
    <t>Другие вопросы в области жилищно-коммунального хозяйства (Ритуальные услуги)</t>
  </si>
  <si>
    <t>Сумма выплат</t>
  </si>
  <si>
    <t>Отчисления</t>
  </si>
  <si>
    <t>Сотрудник</t>
  </si>
  <si>
    <t>Стоимость проезда на 1 человека</t>
  </si>
  <si>
    <t>Наименование показателя (договора)</t>
  </si>
  <si>
    <t>ФГУП «Управление ведомственной охраны Минтранса России»</t>
  </si>
  <si>
    <t>ООО «КТА. ЛЕС»</t>
  </si>
  <si>
    <t>Северный филиал ФГБУ «Авиаметтелеком» Росгидромета</t>
  </si>
  <si>
    <t>2020 год</t>
  </si>
  <si>
    <t>2021 год</t>
  </si>
  <si>
    <t>Проект бюджета на 2020 год, тыс. рублей</t>
  </si>
  <si>
    <t>эту строку в решении не указываем</t>
  </si>
  <si>
    <t>Прочие работы, услуги</t>
  </si>
  <si>
    <t>ФСС НС</t>
  </si>
  <si>
    <t>Расчет</t>
  </si>
  <si>
    <t>З/п по проекту штатного расписания</t>
  </si>
  <si>
    <r>
      <t>З/п</t>
    </r>
    <r>
      <rPr>
        <sz val="9"/>
        <color rgb="FFFF0000"/>
        <rFont val="Calibri"/>
        <family val="2"/>
        <charset val="204"/>
        <scheme val="minor"/>
      </rPr>
      <t xml:space="preserve"> муниципальных служащих</t>
    </r>
    <r>
      <rPr>
        <sz val="9"/>
        <rFont val="Calibri"/>
        <family val="2"/>
        <charset val="204"/>
        <scheme val="minor"/>
      </rPr>
      <t xml:space="preserve"> по проекту штатного расписания</t>
    </r>
  </si>
  <si>
    <r>
      <t xml:space="preserve">З/п </t>
    </r>
    <r>
      <rPr>
        <sz val="9"/>
        <color rgb="FFFF0000"/>
        <rFont val="Calibri"/>
        <family val="2"/>
        <charset val="204"/>
        <scheme val="minor"/>
      </rPr>
      <t>не муниципальных служащих</t>
    </r>
    <r>
      <rPr>
        <sz val="9"/>
        <rFont val="Calibri"/>
        <family val="2"/>
        <charset val="204"/>
        <scheme val="minor"/>
      </rPr>
      <t xml:space="preserve"> по проекту штатного расписания</t>
    </r>
  </si>
  <si>
    <t>уборщик</t>
  </si>
  <si>
    <t>водитель</t>
  </si>
  <si>
    <t>сисадмин</t>
  </si>
  <si>
    <t>главбух</t>
  </si>
  <si>
    <t>финансист</t>
  </si>
  <si>
    <t>делопроизв</t>
  </si>
  <si>
    <t>кадастр</t>
  </si>
  <si>
    <t>ИТОГО</t>
  </si>
  <si>
    <t>Страховые взносы ВДЛ
(30,2%, + 10,0%)</t>
  </si>
  <si>
    <t>Страховые взносы МС
(30,2%, + 10,0%)</t>
  </si>
  <si>
    <t>Страховые взносы НеМС
(30,2%, + 10,0%)</t>
  </si>
  <si>
    <t>Выполнение работ по гидравлической промывке, испытаний на плотность и прочность системы отопления потребителей тепловой энергии</t>
  </si>
  <si>
    <t>Сумма договора(ов)</t>
  </si>
  <si>
    <t>Расчетная потребность в денежных средствах на оплату уличного освещения</t>
  </si>
  <si>
    <t>1.9</t>
  </si>
  <si>
    <t>Доплата Ипполитова Н.В.</t>
  </si>
  <si>
    <t>Иные межбюджетные трансферты в рамках муниципальной программы "Комплексное развитие муниципального района "Заполярный район" на 2017-2022 годы", подпрограммы 4 "Энергоэффективность и развитие энергетики муниципального района "Заполярный район", в том числе:</t>
  </si>
  <si>
    <t>Иные межбюджетные трансферты в рамках муниципальной программы "Комплексное развитие муниципального района "Заполярный район" на 2017-2022 годы", подпрограммы 2 "Развитие транспортной инфраструктуры муниципального района "Заполярный район", в том числе:</t>
  </si>
  <si>
    <r>
      <t xml:space="preserve">Подготовка объектов коммунальной инфраструктуры к осенне-зимнему периоду, выполнение работ по </t>
    </r>
    <r>
      <rPr>
        <b/>
        <u/>
        <sz val="10"/>
        <rFont val="Calibri"/>
        <family val="2"/>
        <charset val="204"/>
      </rPr>
      <t>гидравлической промывке</t>
    </r>
    <r>
      <rPr>
        <sz val="10"/>
        <rFont val="Calibri"/>
        <family val="2"/>
        <charset val="204"/>
      </rPr>
      <t>, испытаний на плотность и прочность системы отопления потребителей тепловой энергии</t>
    </r>
  </si>
  <si>
    <t>98.0.00.79530</t>
  </si>
  <si>
    <t>Кол-во работ</t>
  </si>
  <si>
    <t>Затраты на работы</t>
  </si>
  <si>
    <t>Проведение кадастровых работ по оформлению земельных участков</t>
  </si>
  <si>
    <t>Продление лицензии на программу "Реестр закупок"</t>
  </si>
  <si>
    <t>Продление лицензии "ГРАНД-Смета 8.1"</t>
  </si>
  <si>
    <t>Ремонтные (восстановительные) работы в здании Администрации</t>
  </si>
  <si>
    <t>000 2 02 10000 00 0000 150</t>
  </si>
  <si>
    <t>000 2 02 15001 00 0000 150</t>
  </si>
  <si>
    <t>220 2 02 15001 10 0000 150</t>
  </si>
  <si>
    <t>000 2 02 19999 00 0000 150</t>
  </si>
  <si>
    <t>220 2 02 19999 10 0000 150</t>
  </si>
  <si>
    <t>000 2 02 30024 00 0000 150</t>
  </si>
  <si>
    <t>220 2 02 30024 10 0000 150</t>
  </si>
  <si>
    <t>000 2 02 35118 00 0000 150</t>
  </si>
  <si>
    <t>220 2 02 35118 10 0000 150</t>
  </si>
  <si>
    <t>000 2 02 40014 00 0000 150</t>
  </si>
  <si>
    <t>220 2 02 40014 10 0000 150</t>
  </si>
  <si>
    <t>000 2 02 49999 00 0000 150</t>
  </si>
  <si>
    <t>220 2 02 49999 10 0000 150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</si>
  <si>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</si>
  <si>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Другие вопросы в области социальной политики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</si>
  <si>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вооружённых конфликтов</t>
  </si>
  <si>
    <t>Предупреждение и ликвидация последствий ЧС в границах поселений муниципальных образований</t>
  </si>
  <si>
    <t>Межбюджетные трансферты, предоставляемые из местного бюджета бюджету муниципального района «Заполярный район» для выполнения Контрольно-счетным органом Заполярного района переданных полномочий контрольно-счетного органа муниципального образования по осуществлению внешнего муниципального финансового контроля</t>
  </si>
  <si>
    <t>Поступления НДФЛ за полугодие 2017</t>
  </si>
  <si>
    <t>Поступления НДФЛ за 2017</t>
  </si>
  <si>
    <t>Поступления НДФЛ за полугодие 2018</t>
  </si>
  <si>
    <t>Поступления НДФЛ за 2018</t>
  </si>
  <si>
    <t>Отношение поступлений полугодие/год (2017)</t>
  </si>
  <si>
    <t>2019-2018</t>
  </si>
  <si>
    <t>2020-2019</t>
  </si>
  <si>
    <t>2021-2020</t>
  </si>
  <si>
    <t>Процент роста фонда заработной платы по НАО</t>
  </si>
  <si>
    <t>Вариант расчета НДФЛ от МР ЗР (Хатанзейской) только к сведению</t>
  </si>
  <si>
    <t>Сумма исчисленного налога за 2017 год (тыс.руб.)</t>
  </si>
  <si>
    <t>Средняя сумма исчисленного налога за 4 года</t>
  </si>
  <si>
    <t>Расчет отчислений от налога на совокупный доход</t>
  </si>
  <si>
    <t>000 2 02 29999 00 0000 150</t>
  </si>
  <si>
    <t>Прочие субсидии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</si>
  <si>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</si>
  <si>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</si>
  <si>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000 2 02 20000 00 0000 150</t>
  </si>
  <si>
    <t>220 2 02 29999 10 0000 150</t>
  </si>
  <si>
    <t>1 кв</t>
  </si>
  <si>
    <t>2 кв</t>
  </si>
  <si>
    <t>3 кв</t>
  </si>
  <si>
    <t>4 кв</t>
  </si>
  <si>
    <t>Прочие разовые договоры ГПХ (Климова)</t>
  </si>
  <si>
    <t>Безвозмездные перечисления текущего характера организациям</t>
  </si>
  <si>
    <t>Итого по КОСГУ 240:</t>
  </si>
  <si>
    <t>811</t>
  </si>
  <si>
    <t>Безвозмездные перечисления нефинансовым организациям государственного сектора на производство</t>
  </si>
  <si>
    <t>РАСХОДЫ - ТЕКУЩИЕ РАСХОДЫ</t>
  </si>
  <si>
    <t>Оплата труда, начисления на выплаты по оплате труда</t>
  </si>
  <si>
    <t>Прочие несоц. выплаты персоналу в денежной форме</t>
  </si>
  <si>
    <t>Начисления на выплаты по оплате труда</t>
  </si>
  <si>
    <t>Прочие несоциальные выплаты персоналу в натуральной форме</t>
  </si>
  <si>
    <t>Оплата работ, услуг</t>
  </si>
  <si>
    <t>Транспортные услуги</t>
  </si>
  <si>
    <t>Работы, услуги по содержанию имущества</t>
  </si>
  <si>
    <t>Другие расходы по содержанию имущества (техническое обслуживание и др.)</t>
  </si>
  <si>
    <t>Оплата текущего и капитального ремонта</t>
  </si>
  <si>
    <t>Оплата за проведение курсов, специализаций, участие в семинарах (без учета командиров. расх.)</t>
  </si>
  <si>
    <t>Безвозмездные перечисления бюджетам</t>
  </si>
  <si>
    <t>Переч. др. бюджетам бюджетной системы РФ</t>
  </si>
  <si>
    <t>Социальное обеспечение</t>
  </si>
  <si>
    <t>Пенсии, пособия, выплачиваемые работодателями, нанимателями бывшим работникам</t>
  </si>
  <si>
    <t>Иные выплаты текущего характера физ. лицам</t>
  </si>
  <si>
    <t>Поступление нефинансовых активов</t>
  </si>
  <si>
    <t>Увеличение стоимости горюче-смазочных материалов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</si>
  <si>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</si>
  <si>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</si>
  <si>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>812</t>
  </si>
  <si>
    <t>Сумма
на год</t>
  </si>
  <si>
    <t>Расчет расходов по КОСГУ 213 "Начисления на выплаты по оплате труда":</t>
  </si>
  <si>
    <t>Расчет расходов по КОСГУ 346 "Увеличение стоимости материальных запасов":</t>
  </si>
  <si>
    <t>Итого по КОСГУ 346:</t>
  </si>
  <si>
    <t>Иные выплаты текущего характера организациям</t>
  </si>
  <si>
    <t>98.0.00.93020</t>
  </si>
  <si>
    <r>
      <t xml:space="preserve">Кадастровая оценка земельного участка
</t>
    </r>
    <r>
      <rPr>
        <sz val="9"/>
        <color rgb="FFFF0000"/>
        <rFont val="Calibri"/>
        <family val="2"/>
        <charset val="204"/>
        <scheme val="minor"/>
      </rPr>
      <t>(98.0.00.93020)</t>
    </r>
  </si>
  <si>
    <t>98.0.00.96010</t>
  </si>
  <si>
    <r>
      <t xml:space="preserve">Ассигнования МО, на организацию ритуальных услуг
</t>
    </r>
    <r>
      <rPr>
        <sz val="9"/>
        <color rgb="FFFF0000"/>
        <rFont val="Calibri"/>
        <family val="2"/>
        <charset val="204"/>
        <scheme val="minor"/>
      </rPr>
      <t>(98.0.00.96010)</t>
    </r>
  </si>
  <si>
    <r>
      <rPr>
        <sz val="9"/>
        <color rgb="FFFF0000"/>
        <rFont val="Calibri"/>
        <family val="2"/>
        <charset val="204"/>
        <scheme val="minor"/>
      </rPr>
      <t>Окружные МТ</t>
    </r>
    <r>
      <rPr>
        <sz val="9"/>
        <rFont val="Calibri"/>
        <family val="2"/>
        <charset val="204"/>
        <scheme val="minor"/>
      </rPr>
      <t xml:space="preserve"> на установку и содержание надгробных памятников
</t>
    </r>
    <r>
      <rPr>
        <sz val="9"/>
        <color rgb="FFFF0000"/>
        <rFont val="Calibri"/>
        <family val="2"/>
        <charset val="204"/>
        <scheme val="minor"/>
      </rPr>
      <t>(98.0.00.79530)</t>
    </r>
  </si>
  <si>
    <t>Субсидии с целью возмещения недополученных доходов в связи с оказанием услуг по погребению</t>
  </si>
  <si>
    <t>Содержание на территории муниципального образования мест захоронения участников Великой Отечественной войны, ветеранов боевых действий, участников локальных войн и вооружённых конфликтов</t>
  </si>
  <si>
    <t>000 2 18 00000 00 0000 000</t>
  </si>
  <si>
    <t>000 2 18 00000 00 0000 150</t>
  </si>
  <si>
    <t>000 2 18 00000 10 0000 150</t>
  </si>
  <si>
    <t>220 2 18 60010 10 0000 150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</si>
  <si>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</si>
  <si>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</si>
  <si>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</si>
  <si>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</si>
  <si>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98.0.00.S9530</t>
  </si>
  <si>
    <t>000 1 11 09000 00 0000 120</t>
  </si>
  <si>
    <t>000 1 13 00000 00 0000 000</t>
  </si>
  <si>
    <t>Прочие доходы от компенсации затрат бюджетов сельских поселений</t>
  </si>
  <si>
    <t>220 1 13 02995 10 0000 130</t>
  </si>
  <si>
    <t>Прочие доходы от компенсации затрат государства</t>
  </si>
  <si>
    <t>000 1 13 02990 00 0000 130</t>
  </si>
  <si>
    <t>Доходы от оказания платных услуг и компенсации затрат государства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</si>
  <si>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</si>
  <si>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</si>
  <si>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</si>
  <si>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</si>
  <si>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220 2 19 60010 10 0000 150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</si>
  <si>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</si>
  <si>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по 226/843</t>
  </si>
  <si>
    <t>Количество грамот, открыток</t>
  </si>
  <si>
    <t>Другие расходы</t>
  </si>
  <si>
    <r>
      <t xml:space="preserve">Закупка товаров, работ и услуг для обеспечения государственных (муниципальных) нужд
</t>
    </r>
    <r>
      <rPr>
        <i/>
        <sz val="10"/>
        <color rgb="FFFF0000"/>
        <rFont val="Calibri"/>
        <family val="2"/>
        <charset val="204"/>
      </rPr>
      <t>(Благоустройство, установка светильников)</t>
    </r>
  </si>
  <si>
    <t>Расчет расходов по КОСГУ 200 "Расходы":</t>
  </si>
  <si>
    <r>
      <t xml:space="preserve">Установка и содержание надгробных памятников
</t>
    </r>
    <r>
      <rPr>
        <sz val="9"/>
        <color rgb="FFFF0000"/>
        <rFont val="Calibri"/>
        <family val="2"/>
        <charset val="204"/>
        <scheme val="minor"/>
      </rPr>
      <t>(98.0.00.S9530)</t>
    </r>
  </si>
  <si>
    <t>07</t>
  </si>
  <si>
    <t>Обеспечение проведения выборов и референдумов</t>
  </si>
  <si>
    <t>Расчет расходов по КОСГУ 297 "Иные выплаты текущего характера организациям":</t>
  </si>
  <si>
    <t>Итого по КОСГУ 297:</t>
  </si>
  <si>
    <t>880</t>
  </si>
  <si>
    <t>98.0.00.91100</t>
  </si>
  <si>
    <r>
      <t xml:space="preserve">Проведение довыборов в Совет депутатов МО "Поселок Амдерма" НАО
</t>
    </r>
    <r>
      <rPr>
        <sz val="9"/>
        <color rgb="FFFF0000"/>
        <rFont val="Calibri"/>
        <family val="2"/>
        <charset val="204"/>
        <scheme val="minor"/>
      </rPr>
      <t>(98.0.00.91100 880)</t>
    </r>
  </si>
  <si>
    <t>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</si>
  <si>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на 2020 год и плановый период 2021-2022 годов</t>
  </si>
  <si>
    <t>на 2020 год</t>
  </si>
  <si>
    <t>Ожидаемая оценка поступлений в 2019 году, тыс. руб.</t>
  </si>
  <si>
    <t>Проект бюджета на 2022 год, тыс. руб.</t>
  </si>
  <si>
    <t>Прогноз УФК на 2021 год (рублей)</t>
  </si>
  <si>
    <t>Прогноз УФК на 2022 год (рублей)</t>
  </si>
  <si>
    <t>Ожидаемая сумма поступлений в 2021 году
(тыс. руб.)</t>
  </si>
  <si>
    <t>Ожидаемая сумма поступлений в 2022 году
(тыс. руб.)</t>
  </si>
  <si>
    <t>Ожидаемая сумма поступлений в 2020 году
(тыс. руб.)</t>
  </si>
  <si>
    <t>Ожидаемая оценка поступлений в 2019 году, рублей</t>
  </si>
  <si>
    <t>Проект бюджета на 2020 год, рублей</t>
  </si>
  <si>
    <t>Проект бюджета на 2021 год,
(тыс. руб.)</t>
  </si>
  <si>
    <t>Проект бюджета на 2022 год,
(тыс. руб.)</t>
  </si>
  <si>
    <t>2022 год</t>
  </si>
  <si>
    <t>Количество экземпляров на 01.01.2019, штук</t>
  </si>
  <si>
    <t>Количество экземпляров на 01.01.2020 (прогноз), штук</t>
  </si>
  <si>
    <t>(по прогнозным данным 2019 года, с учетом остатков)</t>
  </si>
  <si>
    <t>Очередной 
финансовый
2020 год</t>
  </si>
  <si>
    <t>1-й год, 2021 год</t>
  </si>
  <si>
    <t>2-й год, 2022 год</t>
  </si>
  <si>
    <t>в ценах
2019 года</t>
  </si>
  <si>
    <r>
      <t>Контрольно-счетная палата Заполярного района</t>
    </r>
    <r>
      <rPr>
        <sz val="9"/>
        <color rgb="FFFF0000"/>
        <rFont val="Calibri"/>
        <family val="2"/>
        <charset val="204"/>
        <scheme val="minor"/>
      </rPr>
      <t xml:space="preserve"> (согласно письму от КСП ЗР от 25.06.2019 №299)</t>
    </r>
  </si>
  <si>
    <t>поступления из окружного бюджета на 2020 год:</t>
  </si>
  <si>
    <t>4</t>
  </si>
  <si>
    <t>5</t>
  </si>
  <si>
    <t>ГБДО НАО "Детский сад п. Амдерма"</t>
  </si>
  <si>
    <t>ГБКУК "Дом культуры"</t>
  </si>
  <si>
    <t>83:00:080008:297</t>
  </si>
  <si>
    <t>83:00:080008:113</t>
  </si>
  <si>
    <t>83:00:080008:555</t>
  </si>
  <si>
    <t>под мастерские</t>
  </si>
  <si>
    <t>склад ГСМ</t>
  </si>
  <si>
    <t>АТХ, гараж</t>
  </si>
  <si>
    <t>рулевая дорожка</t>
  </si>
  <si>
    <t>2.11</t>
  </si>
  <si>
    <t>под перрон</t>
  </si>
  <si>
    <t>83:00:080008:34</t>
  </si>
  <si>
    <t>взлетно-посадочная полоса</t>
  </si>
  <si>
    <t>Площадь земельного участка (Га)</t>
  </si>
  <si>
    <t>Ставка земельного налога (%)</t>
  </si>
  <si>
    <t>Остаток средств на 01.01.2020</t>
  </si>
  <si>
    <t>Дефицит бюджета 2020</t>
  </si>
  <si>
    <r>
      <t>Недостаток(-)</t>
    </r>
    <r>
      <rPr>
        <b/>
        <sz val="10"/>
        <rFont val="Calibri"/>
        <family val="2"/>
        <charset val="204"/>
      </rPr>
      <t>/</t>
    </r>
    <r>
      <rPr>
        <sz val="10"/>
        <rFont val="Calibri"/>
        <family val="2"/>
        <charset val="204"/>
      </rPr>
      <t>избыток(+) средств на 2020</t>
    </r>
  </si>
  <si>
    <t>См. штатные расписания
МС 2020</t>
  </si>
  <si>
    <t>См. штатные расписания
НеМС 2020</t>
  </si>
  <si>
    <t>5 310 816,00
рублей</t>
  </si>
  <si>
    <t>Фактически исполнено за 9 месяцев</t>
  </si>
  <si>
    <t>Фактически поступило (по состоянию на 01.10.2019), рублей</t>
  </si>
  <si>
    <t>2018 год не участвует в расчете отчислений от налога
(в форме 5-УСН нет данных)</t>
  </si>
  <si>
    <r>
      <t xml:space="preserve">Приобретение, замена и </t>
    </r>
    <r>
      <rPr>
        <b/>
        <u/>
        <sz val="10"/>
        <color rgb="FFFF0000"/>
        <rFont val="Calibri"/>
        <family val="2"/>
        <charset val="204"/>
      </rPr>
      <t xml:space="preserve">установка светильников </t>
    </r>
    <r>
      <rPr>
        <sz val="10"/>
        <color rgb="FFFF0000"/>
        <rFont val="Calibri"/>
        <family val="2"/>
        <charset val="204"/>
      </rPr>
      <t>уличного освещения</t>
    </r>
  </si>
  <si>
    <r>
      <t xml:space="preserve">Проведение </t>
    </r>
    <r>
      <rPr>
        <b/>
        <u/>
        <sz val="10"/>
        <color rgb="FFFF0000"/>
        <rFont val="Calibri"/>
        <family val="2"/>
        <charset val="204"/>
      </rPr>
      <t>кадастровых работ</t>
    </r>
    <r>
      <rPr>
        <sz val="10"/>
        <color rgb="FFFF0000"/>
        <rFont val="Calibri"/>
        <family val="2"/>
        <charset val="204"/>
      </rPr>
      <t xml:space="preserve"> по формированию 13-ти земельных участков под жилые дома в МО «Поселок Амдерма» НАО</t>
    </r>
  </si>
  <si>
    <r>
      <t xml:space="preserve">Расходы, связанные с организацией и проведением </t>
    </r>
    <r>
      <rPr>
        <b/>
        <u/>
        <sz val="10"/>
        <rFont val="Calibri"/>
        <family val="2"/>
        <charset val="204"/>
      </rPr>
      <t>выборов</t>
    </r>
    <r>
      <rPr>
        <sz val="10"/>
        <rFont val="Calibri"/>
        <family val="2"/>
        <charset val="204"/>
      </rPr>
      <t xml:space="preserve"> депутатов законодательных (представительных) органов местного самоуправления и глав местных администраций</t>
    </r>
  </si>
  <si>
    <t>Изготовление дефектных ведомостей
(по дог. ГПХ с опл. Взносов)</t>
  </si>
  <si>
    <t>Обслуживание в системе "Гарант"</t>
  </si>
  <si>
    <t>Исходя из уточнённого плана на 2019 г.</t>
  </si>
  <si>
    <t>Потребление т/энергии (зд.Админ.)</t>
  </si>
  <si>
    <t>Холодное водоснабжение (зд.Админ.)</t>
  </si>
  <si>
    <t xml:space="preserve">Водоотведение (зд.Админ.) </t>
  </si>
  <si>
    <r>
      <t xml:space="preserve">Муниципальная программа «Поддержка малого и среднего предпринимательства в муниципальном образовании «Поселок Амдерма» Ненецкого автономного округа на 2020-2022 годы»
</t>
    </r>
    <r>
      <rPr>
        <sz val="9"/>
        <color rgb="FFFF0000"/>
        <rFont val="Calibri"/>
        <family val="2"/>
        <charset val="204"/>
        <scheme val="minor"/>
      </rPr>
      <t>(40.0.00.93030)</t>
    </r>
  </si>
  <si>
    <t>Кол-во выплат</t>
  </si>
  <si>
    <t>40.0.00.93030</t>
  </si>
  <si>
    <t>330</t>
  </si>
  <si>
    <t>40.0.00.00000</t>
  </si>
  <si>
    <t>Муниципальная программа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</si>
  <si>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Мероприятия в рамках МП 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</si>
  <si>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</si>
  <si>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</si>
  <si>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100  1 03 02260 01 0000 110</t>
  </si>
  <si>
    <t>182 1 05 01010 01 0000 110</t>
  </si>
  <si>
    <t>Земельный налог с организаций, обладающих земельным участком, расположенным в границах сельских поселений</t>
  </si>
  <si>
    <t>Прочие дотации бюджетам сельских поселений</t>
  </si>
  <si>
    <t>000 2 02 30000 00 0000 150</t>
  </si>
  <si>
    <t>000 2 02 40000 00 0000 150</t>
  </si>
  <si>
    <r>
      <t xml:space="preserve">Расходы на </t>
    </r>
    <r>
      <rPr>
        <b/>
        <u/>
        <sz val="10"/>
        <rFont val="Calibri"/>
        <family val="2"/>
        <charset val="204"/>
      </rPr>
      <t>выплату пенсии</t>
    </r>
    <r>
      <rPr>
        <sz val="10"/>
        <rFont val="Calibri"/>
        <family val="2"/>
        <charset val="204"/>
      </rPr>
      <t xml:space="preserve"> за выслугу лет лицам, замещавшим выборные должности и должности муниципальной службы</t>
    </r>
  </si>
  <si>
    <r>
      <t xml:space="preserve">Иные межбюджетные трансферты на организацию </t>
    </r>
    <r>
      <rPr>
        <b/>
        <u/>
        <sz val="10"/>
        <rFont val="Calibri"/>
        <family val="2"/>
        <charset val="204"/>
      </rPr>
      <t>ритуальных услуг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</si>
  <si>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и группам видов расходов классификации расходов бюджетов в ведомственной структуре расходов местного бюджета</t>
  </si>
  <si>
    <t>В рублях</t>
  </si>
  <si>
    <t>1 199 340,24
рублей</t>
  </si>
  <si>
    <t>353 867,89
рублей</t>
  </si>
  <si>
    <t>специалист</t>
  </si>
  <si>
    <t>1 588 872,74
рублей</t>
  </si>
  <si>
    <t>Норматив отчисления от налога в 2020 году (%)</t>
  </si>
  <si>
    <t>столярная мастерская</t>
  </si>
  <si>
    <t>Кадастровая стоимость ЗУ (руб.)</t>
  </si>
  <si>
    <t>Земельный налог за 2020 год (руб.)</t>
  </si>
  <si>
    <r>
      <t xml:space="preserve">Челнский взносы
</t>
    </r>
    <r>
      <rPr>
        <sz val="9"/>
        <color rgb="FFFF0000"/>
        <rFont val="Calibri"/>
        <family val="2"/>
        <charset val="204"/>
        <scheme val="minor"/>
      </rPr>
      <t>(письмо  № 63 от 14.06.19)</t>
    </r>
  </si>
  <si>
    <t>Потребление э/энергии (зд.Админ.+гараж)</t>
  </si>
  <si>
    <r>
      <t xml:space="preserve">Расчет поступления доходов от уплаты акцизов (прогноз отчислений) </t>
    </r>
    <r>
      <rPr>
        <sz val="10"/>
        <color rgb="FFFF0000"/>
        <rFont val="Calibri"/>
        <family val="2"/>
        <charset val="204"/>
        <scheme val="minor"/>
      </rPr>
      <t>(норматив отчислений на 2020г. 1,64%)</t>
    </r>
  </si>
  <si>
    <t>Лимиты коммунальных услуг от МР ЗР на 2020 год</t>
  </si>
  <si>
    <t>Суб
КОСГУ</t>
  </si>
  <si>
    <t>Сумма
(руб.)</t>
  </si>
  <si>
    <t>Сумма
(тыс. руб.)</t>
  </si>
  <si>
    <t>Итого:</t>
  </si>
  <si>
    <t>Пуст кв</t>
  </si>
  <si>
    <t>Админ</t>
  </si>
  <si>
    <t>Всего коммунальные услуги здания Администрации:</t>
  </si>
  <si>
    <r>
      <t xml:space="preserve">Симонова
</t>
    </r>
    <r>
      <rPr>
        <sz val="9"/>
        <color rgb="FFFF0000"/>
        <rFont val="Calibri"/>
        <family val="2"/>
        <charset val="204"/>
        <scheme val="minor"/>
      </rPr>
      <t>(с ребенком)</t>
    </r>
  </si>
  <si>
    <r>
      <t xml:space="preserve">Командировочные расходы - </t>
    </r>
    <r>
      <rPr>
        <sz val="9"/>
        <color rgb="FFFF0000"/>
        <rFont val="Calibri"/>
        <family val="2"/>
        <charset val="204"/>
        <scheme val="minor"/>
      </rPr>
      <t>суточные</t>
    </r>
  </si>
  <si>
    <r>
      <t xml:space="preserve">Командировочные расходы - </t>
    </r>
    <r>
      <rPr>
        <sz val="9"/>
        <color rgb="FFFF0000"/>
        <rFont val="Calibri"/>
        <family val="2"/>
        <charset val="204"/>
        <scheme val="minor"/>
      </rPr>
      <t>проезд</t>
    </r>
  </si>
  <si>
    <r>
      <t xml:space="preserve">Командировочные расходы - </t>
    </r>
    <r>
      <rPr>
        <sz val="9"/>
        <color rgb="FFFF0000"/>
        <rFont val="Calibri"/>
        <family val="2"/>
        <charset val="204"/>
        <scheme val="minor"/>
      </rPr>
      <t>проживание</t>
    </r>
  </si>
  <si>
    <t>Ограничение (ПФР)</t>
  </si>
  <si>
    <t>Ограничение (ФСС)</t>
  </si>
  <si>
    <t>Ремонт и обсл.орг.техн.
(по дог. ГПХ)</t>
  </si>
  <si>
    <t>ГУП НАО "НКЭС"
абонентская плата за тел.</t>
  </si>
  <si>
    <t>ГУП НАО "НКЭС"
внутризоновые соединения</t>
  </si>
  <si>
    <t>ГУП НАО "НКЭС"
междугородние соединения</t>
  </si>
  <si>
    <t>Почтовые отправления
(марки)</t>
  </si>
  <si>
    <t>Интернет</t>
  </si>
  <si>
    <t>Кол-во
платежей</t>
  </si>
  <si>
    <t>Сумма платежа
с НДС, руб.</t>
  </si>
  <si>
    <t>Стоимость платежа
с НДС, руб.</t>
  </si>
  <si>
    <t>ООО "Меридиан" получение ЭЦП</t>
  </si>
  <si>
    <t>Расчет расходов по КОСГУ 343 "Увеличение стоимости горюче-смазочных материалов":</t>
  </si>
  <si>
    <t>звонить в "Позитроника" Нарьян-Мар</t>
  </si>
  <si>
    <t>Сумма
платежа</t>
  </si>
  <si>
    <r>
      <t xml:space="preserve">Оплата коммунальных услуг здания Администрации МО </t>
    </r>
    <r>
      <rPr>
        <b/>
        <sz val="11"/>
        <color rgb="FFFF0000"/>
        <rFont val="Calibri"/>
        <family val="2"/>
        <charset val="204"/>
        <scheme val="minor"/>
      </rPr>
      <t>(0104 31.6.00.89400 244 223)</t>
    </r>
  </si>
  <si>
    <r>
      <t xml:space="preserve">Административные правонарушения </t>
    </r>
    <r>
      <rPr>
        <b/>
        <sz val="11"/>
        <color rgb="FFFF0000"/>
        <rFont val="Calibri"/>
        <family val="2"/>
        <charset val="204"/>
        <scheme val="minor"/>
      </rPr>
      <t>(0113 95.0.00.79210 244)</t>
    </r>
  </si>
  <si>
    <t>Расчет расходов по КОСГУ 346 "Увеличение стоимости прочих оборотных запасов (материалов)":</t>
  </si>
  <si>
    <r>
      <t xml:space="preserve">Уплата членских взносов в Ассоциацию "Совет муниципальных образований НАО" </t>
    </r>
    <r>
      <rPr>
        <b/>
        <sz val="11"/>
        <color rgb="FFFF0000"/>
        <rFont val="Calibri"/>
        <family val="2"/>
        <charset val="204"/>
        <scheme val="minor"/>
      </rPr>
      <t>(0113 98.0.00.91040 853)</t>
    </r>
  </si>
  <si>
    <t>Плата за содержание пустующего жилого фонда, находящегося в муниципальной собственности</t>
  </si>
  <si>
    <r>
      <t xml:space="preserve">Содержание жилого фонда
</t>
    </r>
    <r>
      <rPr>
        <sz val="9"/>
        <color rgb="FFFF0000"/>
        <rFont val="Calibri"/>
        <family val="2"/>
        <charset val="204"/>
        <scheme val="minor"/>
      </rPr>
      <t>(98.0.00.91070 244)</t>
    </r>
  </si>
  <si>
    <t>Расчет расходов по КОСГУ 226 "Прочие работы, услуги"</t>
  </si>
  <si>
    <r>
      <t xml:space="preserve">Оценка рыночной стоимости арендной платы муниципального имущества
</t>
    </r>
    <r>
      <rPr>
        <sz val="9"/>
        <color rgb="FFFF0000"/>
        <rFont val="Calibri"/>
        <family val="2"/>
        <charset val="204"/>
        <scheme val="minor"/>
      </rPr>
      <t>(98.0.00.91110 244)</t>
    </r>
  </si>
  <si>
    <t>Итого по КОСГУ 295:</t>
  </si>
  <si>
    <r>
      <t xml:space="preserve">Оценка муниципального имущества </t>
    </r>
    <r>
      <rPr>
        <b/>
        <sz val="11"/>
        <color rgb="FFFF0000"/>
        <rFont val="Calibri"/>
        <family val="2"/>
        <charset val="204"/>
        <scheme val="minor"/>
      </rPr>
      <t>(0113 98.0.00.91110 244)</t>
    </r>
  </si>
  <si>
    <r>
      <t xml:space="preserve">Плата за содержание пустующего жилого фонда, находящегося в муниципальной собственности
</t>
    </r>
    <r>
      <rPr>
        <b/>
        <sz val="11"/>
        <color rgb="FFFF0000"/>
        <rFont val="Calibri"/>
        <family val="2"/>
        <charset val="204"/>
        <scheme val="minor"/>
      </rPr>
      <t>(0113 98.0.00.91070 244)</t>
    </r>
  </si>
  <si>
    <r>
      <t xml:space="preserve">Оплата коммунальных услуг пустующих квартир </t>
    </r>
    <r>
      <rPr>
        <b/>
        <sz val="11"/>
        <color rgb="FFFF0000"/>
        <rFont val="Calibri"/>
        <family val="2"/>
        <charset val="204"/>
        <scheme val="minor"/>
      </rPr>
      <t>(0113 31.6.00.89400 244)</t>
    </r>
  </si>
  <si>
    <t>98.0.00.91070</t>
  </si>
  <si>
    <r>
      <t>Получатель средств бюджета</t>
    </r>
    <r>
      <rPr>
        <sz val="9"/>
        <rFont val="Calibri"/>
        <family val="2"/>
        <charset val="204"/>
        <scheme val="minor"/>
      </rPr>
      <t xml:space="preserve">                           </t>
    </r>
    <r>
      <rPr>
        <u/>
        <sz val="9"/>
        <rFont val="Calibri"/>
        <family val="2"/>
        <charset val="204"/>
        <scheme val="minor"/>
      </rPr>
      <t>Администрация МО "Поселок Амдерма"</t>
    </r>
  </si>
  <si>
    <t>98.0.00.91110</t>
  </si>
  <si>
    <t>Стоимость</t>
  </si>
  <si>
    <r>
      <t xml:space="preserve">Осуществление дорожной деятельности за счет средств ЗР </t>
    </r>
    <r>
      <rPr>
        <b/>
        <sz val="11"/>
        <color rgb="FFFF0000"/>
        <rFont val="Calibri"/>
        <family val="2"/>
        <charset val="204"/>
        <scheme val="minor"/>
      </rPr>
      <t>(0409 32.2.00.89220 244)</t>
    </r>
  </si>
  <si>
    <r>
      <t xml:space="preserve">Осуществление дорожной деятельности за счет средств МО </t>
    </r>
    <r>
      <rPr>
        <b/>
        <sz val="11"/>
        <color rgb="FFFF0000"/>
        <rFont val="Calibri"/>
        <family val="2"/>
        <charset val="204"/>
        <scheme val="minor"/>
      </rPr>
      <t>(0409 98.0.00.93100 244)</t>
    </r>
  </si>
  <si>
    <r>
      <t xml:space="preserve">Проведение кадастровых работ </t>
    </r>
    <r>
      <rPr>
        <b/>
        <sz val="11"/>
        <color rgb="FFFF0000"/>
        <rFont val="Calibri"/>
        <family val="2"/>
        <charset val="204"/>
        <scheme val="minor"/>
      </rPr>
      <t>(0412 98.0.00.93020 244)</t>
    </r>
  </si>
  <si>
    <r>
      <t xml:space="preserve">Мероприятия в области жилищного хозяйства </t>
    </r>
    <r>
      <rPr>
        <b/>
        <sz val="11"/>
        <color rgb="FFFF0000"/>
        <rFont val="Calibri"/>
        <family val="2"/>
        <charset val="204"/>
        <scheme val="minor"/>
      </rPr>
      <t>(0501 98.0.00.96100 244)</t>
    </r>
  </si>
  <si>
    <t>Центральная 5 кв.8</t>
  </si>
  <si>
    <t>Ленина 24 кв.1</t>
  </si>
  <si>
    <t>Дубровина 9 кв.4</t>
  </si>
  <si>
    <t>Дубровина 9 кв.5</t>
  </si>
  <si>
    <t>Дубровина 9 кв.1</t>
  </si>
  <si>
    <r>
      <t xml:space="preserve">Оплата услуг по текущему ремонту помещений
</t>
    </r>
    <r>
      <rPr>
        <sz val="9"/>
        <color rgb="FFFF0000"/>
        <rFont val="Calibri"/>
        <family val="2"/>
        <charset val="204"/>
        <scheme val="minor"/>
      </rPr>
      <t>(согласно предварительным сметным расчетам)</t>
    </r>
  </si>
  <si>
    <r>
      <t xml:space="preserve">Приобретение ТМЦ, инструмента
</t>
    </r>
    <r>
      <rPr>
        <sz val="9"/>
        <color rgb="FFFF0000"/>
        <rFont val="Calibri"/>
        <family val="2"/>
        <charset val="204"/>
        <scheme val="minor"/>
      </rPr>
      <t>(согласно предварительным сметным расчетам)</t>
    </r>
  </si>
  <si>
    <t>1.1.</t>
  </si>
  <si>
    <t>1.2.</t>
  </si>
  <si>
    <t>1.3.</t>
  </si>
  <si>
    <t>1.4.</t>
  </si>
  <si>
    <t>1.5.</t>
  </si>
  <si>
    <r>
      <t xml:space="preserve">Выполнение работ по гидравлической промывке, испытаний на плотность и прочность системы отопления потребителей тепловой энергии </t>
    </r>
    <r>
      <rPr>
        <b/>
        <sz val="11"/>
        <color rgb="FFFF0000"/>
        <rFont val="Calibri"/>
        <family val="2"/>
        <charset val="204"/>
        <scheme val="minor"/>
      </rPr>
      <t>(0502 32.4.00.89240 244)</t>
    </r>
  </si>
  <si>
    <t>Благоустройство (уборка, устройство бордюров и пр.)</t>
  </si>
  <si>
    <r>
      <t xml:space="preserve">Уличное освещение </t>
    </r>
    <r>
      <rPr>
        <b/>
        <sz val="11"/>
        <color rgb="FFFF0000"/>
        <rFont val="Calibri"/>
        <family val="2"/>
        <charset val="204"/>
        <scheme val="minor"/>
      </rPr>
      <t>(0503 32.5.00.89250 244)</t>
    </r>
  </si>
  <si>
    <r>
      <t xml:space="preserve">Благоустройство </t>
    </r>
    <r>
      <rPr>
        <b/>
        <sz val="11"/>
        <color rgb="FFFF0000"/>
        <rFont val="Calibri"/>
        <family val="2"/>
        <charset val="204"/>
        <scheme val="minor"/>
      </rPr>
      <t>(0503 32.5.00.89250 244)</t>
    </r>
  </si>
  <si>
    <t>Расчет расходов по КОСГУ 244 "Безвозмездные перечисления нефинансовым организациям государственного сектора на производство":</t>
  </si>
  <si>
    <t>Стоимость захоронения</t>
  </si>
  <si>
    <t>Кол-во захоронений</t>
  </si>
  <si>
    <r>
      <t xml:space="preserve">Ассигнования, выделенные ЗР, на организацию ритуальных услуг
</t>
    </r>
    <r>
      <rPr>
        <sz val="9"/>
        <color rgb="FFFF0000"/>
        <rFont val="Calibri"/>
        <family val="2"/>
        <charset val="204"/>
        <scheme val="minor"/>
      </rPr>
      <t>(98.0.00.89610)</t>
    </r>
  </si>
  <si>
    <t>Расчет расходов по КОСГУ 264 "Пенсии, пособия, выплачиваемые работодателями, нанимателями бывшим работникам":</t>
  </si>
  <si>
    <t>Итого по КОСГУ 264:</t>
  </si>
  <si>
    <t>Оценка недвижимости, признание прав и регулирование отношений по муниципальной собственности</t>
  </si>
  <si>
    <t>Норматив по АУП</t>
  </si>
  <si>
    <t>Нормативная база</t>
  </si>
  <si>
    <t>Лимит норматива</t>
  </si>
  <si>
    <t>Норматив по з/п (КОСГУ 121) Главы + МС</t>
  </si>
  <si>
    <t>Главбухсервис "Госфинансы"</t>
  </si>
  <si>
    <t>Услуги по организации навигации, представительство в Арх-ске
(дог ГПХ с опл. Взнососв Андриевская)</t>
  </si>
  <si>
    <t>Прогнозируемые затраты на
содержание АУП (за искл. МТ)</t>
  </si>
  <si>
    <t>Прогнозируемые затраты на
з/п Главы + МС</t>
  </si>
  <si>
    <t>Налог. и неналог. + дотации:</t>
  </si>
  <si>
    <t>Для расчета сумм по нормативу (№ 303-п от 25.11.19)</t>
  </si>
  <si>
    <t>( по расходам)</t>
  </si>
  <si>
    <t>Кассовый план поступлений на 2020 год</t>
  </si>
  <si>
    <t>Потребление э/энергии (пустующие кв.)</t>
  </si>
  <si>
    <t>М.В. Златова</t>
  </si>
  <si>
    <t>1.6.</t>
  </si>
  <si>
    <t>Ленина 24 кв.17</t>
  </si>
  <si>
    <t>Дизельное топливо</t>
  </si>
  <si>
    <t>Машинное масло</t>
  </si>
  <si>
    <t>Журнал "Кадровик"</t>
  </si>
  <si>
    <t>Прогноз УФК на 2020 год (рублей)</t>
  </si>
  <si>
    <t>Компенсация при увольнении</t>
  </si>
  <si>
    <t>Начисления на компенсацию</t>
  </si>
  <si>
    <t>Рублей</t>
  </si>
  <si>
    <t>ФОТ на год
(тыс. руб.)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</si>
  <si>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</si>
  <si>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</si>
  <si>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</si>
  <si>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220 2 02 16001 10 0000 150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</si>
  <si>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</si>
  <si>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на 2019-2030 годы</t>
  </si>
  <si>
    <t>Иные межбюджетные трансферты в рамках МП "Безопасность на территории муниципального района "Заполярный район" на 2019-2030 годы", в том числе:</t>
  </si>
  <si>
    <t>Даничева</t>
  </si>
  <si>
    <r>
      <t xml:space="preserve">Глава
</t>
    </r>
    <r>
      <rPr>
        <sz val="9"/>
        <color rgb="FFFF0000"/>
        <rFont val="Calibri"/>
        <family val="2"/>
        <charset val="204"/>
        <scheme val="minor"/>
      </rPr>
      <t>(с ребенком)</t>
    </r>
  </si>
  <si>
    <t>Ипполитова</t>
  </si>
  <si>
    <t>Димитрова</t>
  </si>
  <si>
    <t>Программа профессиональной переподготовки</t>
  </si>
  <si>
    <t>Гражданская оборона, защита населения от ЧС природного и техногенного характера</t>
  </si>
  <si>
    <t>Пожарно-технический минимум для руководителей и ответственных за пожарную безопасность в учреждениях (в офисах)</t>
  </si>
  <si>
    <t>Охрана труда для руководителей и специалистов организации</t>
  </si>
  <si>
    <t>Замена электрокабеля на столбах УО</t>
  </si>
  <si>
    <t>98.0.00.96030</t>
  </si>
  <si>
    <t>Муниципальная программа "Безопасность на территории муниципального района "Заполярный район" на 2019-2030 годы"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</si>
  <si>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</si>
  <si>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r>
  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
</t>
    </r>
    <r>
      <rPr>
        <i/>
        <sz val="10"/>
        <rFont val="Calibri"/>
        <family val="2"/>
        <charset val="204"/>
      </rPr>
      <t>(Выплата пенсии за выслугу лет)</t>
    </r>
  </si>
  <si>
    <r>
      <t xml:space="preserve">Иные межбюджетные трансферты в рамках подпрограммы 4 "Энергоэффективность и развитие энергетики муниципального района "Заполярный район"
</t>
    </r>
    <r>
      <rPr>
        <i/>
        <sz val="10"/>
        <rFont val="Calibri"/>
        <family val="2"/>
        <charset val="204"/>
      </rPr>
      <t>(выполнение работ по гидравлической промывке)</t>
    </r>
  </si>
  <si>
    <t>Мероприятия по замене электрокабеля на столбах уличного освещения</t>
  </si>
  <si>
    <r>
      <t xml:space="preserve">Мероприятия по замене электрокабеля на столбах уличного освещения </t>
    </r>
    <r>
      <rPr>
        <b/>
        <sz val="11"/>
        <color rgb="FFFF0000"/>
        <rFont val="Calibri"/>
        <family val="2"/>
        <charset val="204"/>
        <scheme val="minor"/>
      </rPr>
      <t>(0503 98.0.00.96030 244)</t>
    </r>
  </si>
  <si>
    <t>Потребление водоснаб (пустующие кв.)</t>
  </si>
  <si>
    <t>АО "Управление перспективных технологий"</t>
  </si>
  <si>
    <t>Договор ГПХ на установку памятника
(Лобанков)</t>
  </si>
  <si>
    <t>МФУ</t>
  </si>
  <si>
    <t>Бухгалтерский шкаф</t>
  </si>
  <si>
    <t>Пылесос</t>
  </si>
  <si>
    <t>З/П Даничева</t>
  </si>
  <si>
    <r>
      <t xml:space="preserve">Ремонт линии электропередач уличного освещения </t>
    </r>
    <r>
      <rPr>
        <b/>
        <sz val="11"/>
        <color rgb="FFFF0000"/>
        <rFont val="Calibri"/>
        <family val="2"/>
        <charset val="204"/>
        <scheme val="minor"/>
      </rPr>
      <t>(0503 98.0.00.96040 244)</t>
    </r>
  </si>
  <si>
    <t>Ремонт линии электропередач уличного освещения</t>
  </si>
  <si>
    <t>уточнение МТ</t>
  </si>
  <si>
    <t>новый КБК</t>
  </si>
  <si>
    <t>Вывоз ТКО</t>
  </si>
  <si>
    <t>вып</t>
  </si>
  <si>
    <t>1.7.</t>
  </si>
  <si>
    <t>Прочие</t>
  </si>
  <si>
    <t>Доходы от компенсации затрат государства</t>
  </si>
  <si>
    <t>000 1 13 02000 00 0000 130</t>
  </si>
  <si>
    <t>Пятакова</t>
  </si>
  <si>
    <t>98.0.00.96040</t>
  </si>
  <si>
    <r>
      <t xml:space="preserve">Поддержка предпринимательства </t>
    </r>
    <r>
      <rPr>
        <b/>
        <sz val="11"/>
        <color rgb="FFFF0000"/>
        <rFont val="Calibri"/>
        <family val="2"/>
        <charset val="204"/>
        <scheme val="minor"/>
      </rPr>
      <t>(0412 40.0.00.93030 244)</t>
    </r>
  </si>
  <si>
    <t>Итого по КОСГУ 349:</t>
  </si>
  <si>
    <t>Расчет расходов по КОСГУ 349 "Увел. стоим. прочих материал. запасов однократного применения":</t>
  </si>
  <si>
    <t>уточнение субвенции</t>
  </si>
  <si>
    <t>уточнение субвенции по ПВУ</t>
  </si>
  <si>
    <t>корректировка по оплате провезда и провоза багажа муниципального служащего</t>
  </si>
  <si>
    <t>уточнение лимитов по МП</t>
  </si>
  <si>
    <t>корректировка социальных пособий</t>
  </si>
  <si>
    <r>
      <t xml:space="preserve">Установка гирлянд для праздничных мероприятий </t>
    </r>
    <r>
      <rPr>
        <b/>
        <sz val="11"/>
        <color rgb="FFFF0000"/>
        <rFont val="Calibri"/>
        <family val="2"/>
        <charset val="204"/>
        <scheme val="minor"/>
      </rPr>
      <t>(0503 98.0.00.96310 244)</t>
    </r>
  </si>
  <si>
    <t xml:space="preserve">Установка гирлянд для праздничных мероприятий </t>
  </si>
  <si>
    <t>98.0.00.96310</t>
  </si>
  <si>
    <t>Установка гирлянд для праздничных мероприятий</t>
  </si>
  <si>
    <t xml:space="preserve">корректировка </t>
  </si>
  <si>
    <t xml:space="preserve">ИБП </t>
  </si>
  <si>
    <t>Уплата налога на имущество
0104 93.0.00.91010 851</t>
  </si>
  <si>
    <t>корректировка социальных пособий Главы</t>
  </si>
  <si>
    <t>-25387,68</t>
  </si>
  <si>
    <t>-21573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</si>
</sst>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#,##0.000"/>
    <numFmt numFmtId="167" formatCode="0.0%"/>
    <numFmt numFmtId="168" formatCode="#,##0.0000"/>
    <numFmt numFmtId="169" formatCode="0.000"/>
    <numFmt numFmtId="170" formatCode="#,##0.00_ ;\-#,##0.00\ "/>
  </numFmts>
  <fonts count="1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rgb="FFFF0000"/>
      <name val="Calibri"/>
      <family val="2"/>
      <charset val="204"/>
    </font>
    <font>
      <sz val="10"/>
      <name val="Arial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9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u/>
      <sz val="10"/>
      <name val="Calibri"/>
      <family val="2"/>
      <charset val="204"/>
    </font>
    <font>
      <b/>
      <sz val="10"/>
      <color indexed="10"/>
      <name val="Calibri"/>
      <family val="2"/>
      <charset val="204"/>
    </font>
    <font>
      <sz val="14"/>
      <name val="Calibri"/>
      <family val="2"/>
      <charset val="204"/>
    </font>
    <font>
      <i/>
      <sz val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10"/>
      <name val="Calibri"/>
      <family val="2"/>
      <charset val="204"/>
    </font>
    <font>
      <u/>
      <sz val="10"/>
      <name val="Calibri"/>
      <family val="2"/>
      <charset val="204"/>
    </font>
    <font>
      <u/>
      <sz val="9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9"/>
      <name val="Calibri"/>
      <family val="2"/>
      <charset val="204"/>
    </font>
    <font>
      <b/>
      <sz val="9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6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3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10"/>
      <color indexed="10"/>
      <name val="Calibri"/>
      <family val="2"/>
      <charset val="204"/>
      <scheme val="minor"/>
    </font>
    <font>
      <sz val="10"/>
      <color indexed="56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10"/>
      <name val="Calibri"/>
      <family val="2"/>
      <charset val="204"/>
      <scheme val="minor"/>
    </font>
    <font>
      <sz val="8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0"/>
      <color indexed="10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i/>
      <sz val="10"/>
      <color rgb="FFFF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2"/>
      <name val="Calibri"/>
      <family val="2"/>
      <charset val="204"/>
      <scheme val="minor"/>
    </font>
    <font>
      <i/>
      <sz val="12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</font>
    <font>
      <b/>
      <sz val="9"/>
      <color rgb="FFFF000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3"/>
      <name val="Calibri"/>
      <family val="2"/>
      <charset val="204"/>
    </font>
    <font>
      <b/>
      <sz val="10"/>
      <color theme="3"/>
      <name val="Calibri"/>
      <family val="2"/>
      <charset val="204"/>
    </font>
    <font>
      <b/>
      <sz val="18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FF0000"/>
      <name val="Calibri"/>
      <family val="2"/>
      <scheme val="minor"/>
    </font>
    <font>
      <sz val="12"/>
      <color indexed="10"/>
      <name val="Calibri"/>
      <family val="2"/>
      <charset val="204"/>
    </font>
    <font>
      <b/>
      <sz val="9"/>
      <color rgb="FFFF0000"/>
      <name val="Calibri"/>
      <family val="2"/>
      <charset val="204"/>
      <scheme val="minor"/>
    </font>
    <font>
      <b/>
      <u/>
      <sz val="10"/>
      <color rgb="FFFF0000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0"/>
      <color rgb="FFFF0000"/>
      <name val="Calibri"/>
      <family val="2"/>
      <charset val="204"/>
      <scheme val="minor"/>
    </font>
    <font>
      <b/>
      <sz val="11"/>
      <color indexed="10"/>
      <name val="Calibri"/>
      <family val="2"/>
      <charset val="204"/>
      <scheme val="minor"/>
    </font>
    <font>
      <u/>
      <sz val="10"/>
      <name val="Calibri"/>
      <family val="2"/>
      <charset val="204"/>
      <scheme val="minor"/>
    </font>
    <font>
      <u/>
      <sz val="9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  <font>
      <b/>
      <sz val="9"/>
      <color indexed="56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00B0F0"/>
      <name val="Calibri"/>
      <family val="2"/>
      <charset val="204"/>
    </font>
    <font>
      <b/>
      <sz val="10"/>
      <color rgb="FF00B0F0"/>
      <name val="Calibri"/>
      <family val="2"/>
      <charset val="204"/>
    </font>
    <font>
      <sz val="10"/>
      <color rgb="FF00B050"/>
      <name val="Calibri"/>
      <family val="2"/>
      <charset val="204"/>
    </font>
    <font>
      <b/>
      <sz val="10"/>
      <color rgb="FF00B050"/>
      <name val="Calibri"/>
      <family val="2"/>
      <charset val="204"/>
    </font>
    <font>
      <b/>
      <sz val="16"/>
      <color rgb="FFFF0000"/>
      <name val="Calibri"/>
      <family val="2"/>
      <charset val="204"/>
    </font>
    <font>
      <b/>
      <i/>
      <sz val="10"/>
      <color rgb="FFFF0000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3" fillId="0" borderId="0"/>
    <xf numFmtId="0" fontId="23" fillId="0" borderId="0"/>
    <xf numFmtId="0" fontId="41" fillId="0" borderId="7" applyNumberFormat="0" applyFill="0" applyAlignment="0" applyProtection="0"/>
  </cellStyleXfs>
  <cellXfs count="1300">
    <xf numFmtId="0" fontId="0" fillId="0" borderId="0" xfId="0"/>
    <xf numFmtId="0" fontId="21" fillId="0" borderId="0" xfId="0" applyFont="1"/>
    <xf numFmtId="0" fontId="27" fillId="0" borderId="3" xfId="4" applyFont="1" applyFill="1" applyBorder="1" applyAlignment="1">
      <alignment horizontal="center" vertical="center" wrapText="1"/>
    </xf>
    <xf numFmtId="49" fontId="28" fillId="0" borderId="3" xfId="5" applyNumberFormat="1" applyFont="1" applyBorder="1"/>
    <xf numFmtId="0" fontId="28" fillId="0" borderId="3" xfId="5" applyFont="1" applyBorder="1" applyAlignment="1">
      <alignment horizontal="left" vertical="center"/>
    </xf>
    <xf numFmtId="164" fontId="28" fillId="0" borderId="3" xfId="5" applyNumberFormat="1" applyFont="1" applyBorder="1" applyAlignment="1">
      <alignment horizontal="right" vertical="center"/>
    </xf>
    <xf numFmtId="164" fontId="20" fillId="0" borderId="3" xfId="3" applyNumberFormat="1" applyBorder="1" applyAlignment="1">
      <alignment horizontal="right" vertical="center"/>
    </xf>
    <xf numFmtId="49" fontId="29" fillId="0" borderId="3" xfId="3" applyNumberFormat="1" applyFont="1" applyBorder="1" applyAlignment="1">
      <alignment horizontal="center" vertical="center" wrapText="1"/>
    </xf>
    <xf numFmtId="0" fontId="30" fillId="0" borderId="3" xfId="3" applyFont="1" applyBorder="1" applyAlignment="1">
      <alignment horizontal="left" vertical="center"/>
    </xf>
    <xf numFmtId="49" fontId="21" fillId="0" borderId="3" xfId="5" applyNumberFormat="1" applyFont="1" applyFill="1" applyBorder="1" applyAlignment="1">
      <alignment horizontal="center" vertical="center" wrapText="1"/>
    </xf>
    <xf numFmtId="165" fontId="21" fillId="0" borderId="3" xfId="5" applyNumberFormat="1" applyFont="1" applyBorder="1" applyAlignment="1">
      <alignment horizontal="left" vertical="center" wrapText="1"/>
    </xf>
    <xf numFmtId="164" fontId="21" fillId="0" borderId="3" xfId="5" applyNumberFormat="1" applyFont="1" applyFill="1" applyBorder="1" applyAlignment="1">
      <alignment horizontal="right" vertical="center"/>
    </xf>
    <xf numFmtId="0" fontId="30" fillId="0" borderId="3" xfId="3" applyFont="1" applyBorder="1" applyAlignment="1">
      <alignment horizontal="left" vertical="center" wrapText="1"/>
    </xf>
    <xf numFmtId="164" fontId="20" fillId="0" borderId="3" xfId="3" applyNumberFormat="1" applyFill="1" applyBorder="1" applyAlignment="1">
      <alignment horizontal="right" vertical="center"/>
    </xf>
    <xf numFmtId="49" fontId="21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31" fillId="0" borderId="0" xfId="0" applyFont="1"/>
    <xf numFmtId="0" fontId="21" fillId="0" borderId="3" xfId="0" applyFont="1" applyFill="1" applyBorder="1" applyAlignment="1">
      <alignment horizontal="left" vertical="center" wrapText="1"/>
    </xf>
    <xf numFmtId="49" fontId="21" fillId="0" borderId="3" xfId="5" applyNumberFormat="1" applyFont="1" applyBorder="1" applyAlignment="1">
      <alignment horizontal="center" vertical="center" wrapText="1"/>
    </xf>
    <xf numFmtId="0" fontId="32" fillId="0" borderId="3" xfId="5" applyFont="1" applyBorder="1" applyAlignment="1">
      <alignment horizontal="left" vertical="center"/>
    </xf>
    <xf numFmtId="164" fontId="32" fillId="0" borderId="3" xfId="5" applyNumberFormat="1" applyFont="1" applyFill="1" applyBorder="1" applyAlignment="1">
      <alignment horizontal="right" vertical="center"/>
    </xf>
    <xf numFmtId="0" fontId="21" fillId="0" borderId="3" xfId="5" applyFont="1" applyBorder="1" applyAlignment="1">
      <alignment horizontal="left" vertical="center" wrapText="1"/>
    </xf>
    <xf numFmtId="164" fontId="21" fillId="0" borderId="3" xfId="5" applyNumberFormat="1" applyFont="1" applyBorder="1" applyAlignment="1">
      <alignment vertical="center"/>
    </xf>
    <xf numFmtId="49" fontId="32" fillId="0" borderId="3" xfId="5" applyNumberFormat="1" applyFont="1" applyBorder="1" applyAlignment="1">
      <alignment horizontal="center" vertical="center" wrapText="1"/>
    </xf>
    <xf numFmtId="0" fontId="32" fillId="0" borderId="3" xfId="5" applyFont="1" applyBorder="1" applyAlignment="1">
      <alignment horizontal="left" vertical="center" wrapText="1"/>
    </xf>
    <xf numFmtId="49" fontId="21" fillId="2" borderId="3" xfId="5" applyNumberFormat="1" applyFont="1" applyFill="1" applyBorder="1" applyAlignment="1">
      <alignment horizontal="center" vertical="center" wrapText="1"/>
    </xf>
    <xf numFmtId="164" fontId="21" fillId="0" borderId="3" xfId="5" applyNumberFormat="1" applyFont="1" applyFill="1" applyBorder="1" applyAlignment="1">
      <alignment horizontal="right" vertical="center" wrapText="1"/>
    </xf>
    <xf numFmtId="49" fontId="29" fillId="2" borderId="3" xfId="3" applyNumberFormat="1" applyFont="1" applyFill="1" applyBorder="1" applyAlignment="1">
      <alignment horizontal="center" vertical="center" wrapText="1"/>
    </xf>
    <xf numFmtId="164" fontId="20" fillId="0" borderId="3" xfId="3" applyNumberFormat="1" applyFill="1" applyBorder="1" applyAlignment="1">
      <alignment horizontal="right" vertical="center" wrapText="1"/>
    </xf>
    <xf numFmtId="49" fontId="20" fillId="2" borderId="3" xfId="3" applyNumberFormat="1" applyFill="1" applyBorder="1" applyAlignment="1">
      <alignment horizontal="left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0" fillId="0" borderId="3" xfId="3" applyFill="1" applyBorder="1" applyAlignment="1">
      <alignment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vertical="center" wrapText="1"/>
    </xf>
    <xf numFmtId="164" fontId="32" fillId="2" borderId="3" xfId="5" applyNumberFormat="1" applyFont="1" applyFill="1" applyBorder="1" applyAlignment="1">
      <alignment horizontal="right" vertical="center"/>
    </xf>
    <xf numFmtId="164" fontId="21" fillId="2" borderId="3" xfId="5" applyNumberFormat="1" applyFont="1" applyFill="1" applyBorder="1" applyAlignment="1">
      <alignment horizontal="right" vertical="center"/>
    </xf>
    <xf numFmtId="0" fontId="21" fillId="0" borderId="3" xfId="5" applyFont="1" applyBorder="1" applyAlignment="1">
      <alignment horizontal="left" vertical="center" wrapText="1" indent="1"/>
    </xf>
    <xf numFmtId="0" fontId="30" fillId="0" borderId="3" xfId="3" applyFont="1" applyFill="1" applyBorder="1" applyAlignment="1">
      <alignment horizontal="left" vertical="center" wrapText="1"/>
    </xf>
    <xf numFmtId="0" fontId="21" fillId="0" borderId="0" xfId="0" applyFont="1" applyFill="1"/>
    <xf numFmtId="49" fontId="29" fillId="0" borderId="3" xfId="2" applyNumberFormat="1" applyFont="1" applyFill="1" applyBorder="1" applyAlignment="1">
      <alignment horizontal="center" vertical="center" wrapText="1"/>
    </xf>
    <xf numFmtId="164" fontId="20" fillId="2" borderId="3" xfId="3" applyNumberFormat="1" applyFill="1" applyBorder="1" applyAlignment="1">
      <alignment horizontal="right" vertical="center" wrapText="1"/>
    </xf>
    <xf numFmtId="164" fontId="21" fillId="2" borderId="3" xfId="5" applyNumberFormat="1" applyFont="1" applyFill="1" applyBorder="1" applyAlignment="1">
      <alignment horizontal="right" vertical="center" wrapText="1"/>
    </xf>
    <xf numFmtId="0" fontId="21" fillId="0" borderId="3" xfId="5" applyFont="1" applyFill="1" applyBorder="1" applyAlignment="1">
      <alignment horizontal="left" vertical="center" wrapText="1" indent="1"/>
    </xf>
    <xf numFmtId="0" fontId="21" fillId="0" borderId="3" xfId="5" applyFont="1" applyFill="1" applyBorder="1" applyAlignment="1">
      <alignment horizontal="left" vertical="center" wrapText="1" indent="2"/>
    </xf>
    <xf numFmtId="0" fontId="21" fillId="0" borderId="3" xfId="5" applyFont="1" applyFill="1" applyBorder="1" applyAlignment="1">
      <alignment horizontal="left" vertical="center" wrapText="1"/>
    </xf>
    <xf numFmtId="49" fontId="21" fillId="0" borderId="0" xfId="5" applyNumberFormat="1" applyFont="1" applyFill="1" applyAlignment="1">
      <alignment vertical="center" wrapText="1"/>
    </xf>
    <xf numFmtId="0" fontId="35" fillId="0" borderId="3" xfId="5" applyFont="1" applyFill="1" applyBorder="1" applyAlignment="1">
      <alignment horizontal="left" vertical="center" wrapText="1" indent="2"/>
    </xf>
    <xf numFmtId="49" fontId="21" fillId="0" borderId="0" xfId="5" applyNumberFormat="1" applyFont="1" applyFill="1" applyAlignment="1">
      <alignment horizontal="left" vertical="center" wrapText="1"/>
    </xf>
    <xf numFmtId="0" fontId="21" fillId="2" borderId="3" xfId="5" applyFont="1" applyFill="1" applyBorder="1" applyAlignment="1">
      <alignment horizontal="left" vertical="center" wrapText="1" indent="1"/>
    </xf>
    <xf numFmtId="49" fontId="21" fillId="2" borderId="5" xfId="5" applyNumberFormat="1" applyFont="1" applyFill="1" applyBorder="1"/>
    <xf numFmtId="0" fontId="32" fillId="2" borderId="4" xfId="5" applyFont="1" applyFill="1" applyBorder="1" applyAlignment="1">
      <alignment horizontal="left" vertical="center" wrapText="1"/>
    </xf>
    <xf numFmtId="0" fontId="21" fillId="0" borderId="0" xfId="0" applyFont="1" applyFill="1" applyAlignment="1"/>
    <xf numFmtId="4" fontId="21" fillId="0" borderId="0" xfId="0" applyNumberFormat="1" applyFont="1" applyFill="1"/>
    <xf numFmtId="4" fontId="36" fillId="0" borderId="0" xfId="0" applyNumberFormat="1" applyFont="1" applyFill="1"/>
    <xf numFmtId="49" fontId="21" fillId="0" borderId="0" xfId="0" applyNumberFormat="1" applyFont="1"/>
    <xf numFmtId="0" fontId="21" fillId="0" borderId="0" xfId="5" applyFont="1"/>
    <xf numFmtId="0" fontId="21" fillId="0" borderId="0" xfId="5" applyFont="1" applyFill="1"/>
    <xf numFmtId="49" fontId="21" fillId="0" borderId="0" xfId="5" applyNumberFormat="1" applyFont="1" applyAlignment="1"/>
    <xf numFmtId="0" fontId="21" fillId="0" borderId="0" xfId="5" applyFont="1" applyAlignment="1">
      <alignment horizontal="center"/>
    </xf>
    <xf numFmtId="164" fontId="21" fillId="0" borderId="0" xfId="5" applyNumberFormat="1" applyFont="1"/>
    <xf numFmtId="0" fontId="27" fillId="0" borderId="3" xfId="4" applyFont="1" applyBorder="1" applyAlignment="1">
      <alignment horizontal="center" vertical="center" wrapText="1"/>
    </xf>
    <xf numFmtId="0" fontId="32" fillId="0" borderId="3" xfId="5" applyFont="1" applyFill="1" applyBorder="1" applyAlignment="1">
      <alignment horizontal="left" vertical="center"/>
    </xf>
    <xf numFmtId="0" fontId="21" fillId="0" borderId="3" xfId="5" applyFont="1" applyFill="1" applyBorder="1" applyAlignment="1">
      <alignment horizontal="center" vertical="center"/>
    </xf>
    <xf numFmtId="0" fontId="21" fillId="0" borderId="3" xfId="5" applyFont="1" applyFill="1" applyBorder="1" applyAlignment="1">
      <alignment horizontal="center" vertical="center" wrapText="1"/>
    </xf>
    <xf numFmtId="1" fontId="21" fillId="0" borderId="0" xfId="5" applyNumberFormat="1" applyFont="1"/>
    <xf numFmtId="165" fontId="37" fillId="0" borderId="0" xfId="0" applyNumberFormat="1" applyFont="1"/>
    <xf numFmtId="0" fontId="32" fillId="0" borderId="3" xfId="5" applyFont="1" applyFill="1" applyBorder="1" applyAlignment="1">
      <alignment horizontal="left" vertical="center" wrapText="1"/>
    </xf>
    <xf numFmtId="0" fontId="32" fillId="0" borderId="3" xfId="5" applyFont="1" applyFill="1" applyBorder="1" applyAlignment="1">
      <alignment horizontal="center" vertical="center"/>
    </xf>
    <xf numFmtId="0" fontId="32" fillId="0" borderId="3" xfId="5" applyFont="1" applyFill="1" applyBorder="1"/>
    <xf numFmtId="0" fontId="31" fillId="0" borderId="0" xfId="5" applyFont="1" applyFill="1" applyAlignment="1">
      <alignment vertical="center" wrapText="1"/>
    </xf>
    <xf numFmtId="0" fontId="30" fillId="2" borderId="3" xfId="3" applyFont="1" applyFill="1" applyBorder="1" applyAlignment="1">
      <alignment horizontal="left" vertical="center" wrapText="1"/>
    </xf>
    <xf numFmtId="0" fontId="30" fillId="0" borderId="3" xfId="3" applyFont="1" applyFill="1" applyBorder="1" applyAlignment="1">
      <alignment horizontal="center" vertical="center"/>
    </xf>
    <xf numFmtId="49" fontId="30" fillId="0" borderId="3" xfId="3" applyNumberFormat="1" applyFont="1" applyFill="1" applyBorder="1" applyAlignment="1">
      <alignment horizontal="center" vertical="center"/>
    </xf>
    <xf numFmtId="164" fontId="30" fillId="0" borderId="3" xfId="3" applyNumberFormat="1" applyFont="1" applyFill="1" applyBorder="1" applyAlignment="1">
      <alignment horizontal="right" vertical="center"/>
    </xf>
    <xf numFmtId="0" fontId="32" fillId="0" borderId="3" xfId="5" applyFont="1" applyFill="1" applyBorder="1" applyAlignment="1">
      <alignment horizontal="center" vertical="center" wrapText="1"/>
    </xf>
    <xf numFmtId="49" fontId="32" fillId="0" borderId="3" xfId="5" applyNumberFormat="1" applyFont="1" applyFill="1" applyBorder="1" applyAlignment="1">
      <alignment horizontal="center" vertical="center"/>
    </xf>
    <xf numFmtId="165" fontId="21" fillId="0" borderId="0" xfId="5" applyNumberFormat="1" applyFont="1"/>
    <xf numFmtId="49" fontId="21" fillId="0" borderId="3" xfId="5" applyNumberFormat="1" applyFont="1" applyFill="1" applyBorder="1" applyAlignment="1">
      <alignment horizontal="center" vertical="center"/>
    </xf>
    <xf numFmtId="2" fontId="21" fillId="0" borderId="0" xfId="5" applyNumberFormat="1" applyFont="1"/>
    <xf numFmtId="49" fontId="21" fillId="0" borderId="0" xfId="5" applyNumberFormat="1" applyFont="1" applyFill="1"/>
    <xf numFmtId="49" fontId="31" fillId="0" borderId="3" xfId="5" applyNumberFormat="1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center" vertical="center" wrapText="1"/>
    </xf>
    <xf numFmtId="0" fontId="31" fillId="0" borderId="0" xfId="5" applyFont="1" applyFill="1" applyAlignment="1"/>
    <xf numFmtId="0" fontId="31" fillId="0" borderId="0" xfId="5" applyFont="1" applyFill="1" applyAlignment="1">
      <alignment vertical="top"/>
    </xf>
    <xf numFmtId="0" fontId="31" fillId="0" borderId="0" xfId="5" applyFont="1" applyFill="1" applyAlignment="1">
      <alignment horizontal="center" vertical="top"/>
    </xf>
    <xf numFmtId="0" fontId="32" fillId="0" borderId="3" xfId="0" applyFont="1" applyFill="1" applyBorder="1" applyAlignment="1">
      <alignment horizontal="left" vertical="center" wrapText="1"/>
    </xf>
    <xf numFmtId="49" fontId="30" fillId="0" borderId="3" xfId="3" applyNumberFormat="1" applyFont="1" applyFill="1" applyBorder="1" applyAlignment="1">
      <alignment horizontal="center" vertical="center" wrapText="1"/>
    </xf>
    <xf numFmtId="164" fontId="30" fillId="0" borderId="3" xfId="3" applyNumberFormat="1" applyFont="1" applyFill="1" applyBorder="1" applyAlignment="1">
      <alignment horizontal="right" vertical="center" wrapText="1"/>
    </xf>
    <xf numFmtId="49" fontId="21" fillId="0" borderId="0" xfId="5" applyNumberFormat="1" applyFont="1" applyAlignment="1">
      <alignment vertical="center" wrapText="1"/>
    </xf>
    <xf numFmtId="4" fontId="21" fillId="0" borderId="0" xfId="5" applyNumberFormat="1" applyFont="1"/>
    <xf numFmtId="49" fontId="32" fillId="0" borderId="3" xfId="5" applyNumberFormat="1" applyFont="1" applyFill="1" applyBorder="1" applyAlignment="1">
      <alignment horizontal="center" vertical="center" wrapText="1"/>
    </xf>
    <xf numFmtId="49" fontId="36" fillId="0" borderId="3" xfId="5" applyNumberFormat="1" applyFont="1" applyFill="1" applyBorder="1" applyAlignment="1">
      <alignment horizontal="center" vertical="center" wrapText="1"/>
    </xf>
    <xf numFmtId="164" fontId="32" fillId="0" borderId="3" xfId="5" applyNumberFormat="1" applyFont="1" applyFill="1" applyBorder="1" applyAlignment="1">
      <alignment horizontal="right" vertical="center" wrapText="1"/>
    </xf>
    <xf numFmtId="49" fontId="33" fillId="0" borderId="3" xfId="0" applyNumberFormat="1" applyFont="1" applyFill="1" applyBorder="1" applyAlignment="1">
      <alignment horizontal="center" vertical="center"/>
    </xf>
    <xf numFmtId="0" fontId="21" fillId="0" borderId="0" xfId="5" applyFont="1" applyAlignment="1">
      <alignment vertical="center" wrapText="1"/>
    </xf>
    <xf numFmtId="0" fontId="21" fillId="0" borderId="0" xfId="5" applyFont="1" applyAlignment="1">
      <alignment horizontal="center" vertical="center" wrapText="1"/>
    </xf>
    <xf numFmtId="49" fontId="21" fillId="0" borderId="0" xfId="5" applyNumberFormat="1" applyFont="1" applyAlignment="1">
      <alignment horizontal="center" vertical="center" wrapText="1"/>
    </xf>
    <xf numFmtId="4" fontId="36" fillId="0" borderId="0" xfId="0" applyNumberFormat="1" applyFont="1" applyFill="1" applyAlignment="1">
      <alignment horizontal="left" vertical="center" indent="1"/>
    </xf>
    <xf numFmtId="49" fontId="32" fillId="0" borderId="0" xfId="5" applyNumberFormat="1" applyFont="1" applyAlignment="1">
      <alignment horizontal="center" vertical="center" wrapText="1"/>
    </xf>
    <xf numFmtId="49" fontId="32" fillId="0" borderId="0" xfId="5" applyNumberFormat="1" applyFont="1" applyAlignment="1">
      <alignment horizontal="left" vertical="center" wrapText="1" indent="1"/>
    </xf>
    <xf numFmtId="49" fontId="21" fillId="0" borderId="0" xfId="5" applyNumberFormat="1" applyFont="1" applyAlignment="1">
      <alignment horizontal="center"/>
    </xf>
    <xf numFmtId="49" fontId="21" fillId="0" borderId="0" xfId="5" applyNumberFormat="1" applyFont="1"/>
    <xf numFmtId="0" fontId="40" fillId="0" borderId="0" xfId="0" applyFont="1" applyAlignment="1">
      <alignment horizontal="right"/>
    </xf>
    <xf numFmtId="0" fontId="32" fillId="0" borderId="3" xfId="0" applyFont="1" applyBorder="1" applyAlignment="1">
      <alignment horizontal="left" vertical="center" wrapText="1"/>
    </xf>
    <xf numFmtId="49" fontId="32" fillId="0" borderId="3" xfId="5" applyNumberFormat="1" applyFont="1" applyBorder="1" applyAlignment="1">
      <alignment horizontal="center" vertical="center"/>
    </xf>
    <xf numFmtId="164" fontId="28" fillId="0" borderId="3" xfId="0" applyNumberFormat="1" applyFont="1" applyBorder="1" applyAlignment="1">
      <alignment horizontal="center" vertical="center"/>
    </xf>
    <xf numFmtId="4" fontId="21" fillId="0" borderId="0" xfId="0" applyNumberFormat="1" applyFont="1"/>
    <xf numFmtId="164" fontId="31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 wrapText="1"/>
    </xf>
    <xf numFmtId="0" fontId="21" fillId="0" borderId="3" xfId="5" applyFont="1" applyBorder="1" applyAlignment="1">
      <alignment horizontal="center" vertical="center"/>
    </xf>
    <xf numFmtId="164" fontId="21" fillId="0" borderId="3" xfId="0" applyNumberFormat="1" applyFont="1" applyBorder="1" applyAlignment="1">
      <alignment horizontal="center" vertical="center"/>
    </xf>
    <xf numFmtId="164" fontId="21" fillId="0" borderId="0" xfId="0" applyNumberFormat="1" applyFont="1"/>
    <xf numFmtId="165" fontId="21" fillId="0" borderId="0" xfId="0" applyNumberFormat="1" applyFont="1"/>
    <xf numFmtId="164" fontId="21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49" fontId="21" fillId="0" borderId="3" xfId="5" applyNumberFormat="1" applyFont="1" applyBorder="1" applyAlignment="1">
      <alignment horizontal="center" vertical="center"/>
    </xf>
    <xf numFmtId="0" fontId="21" fillId="0" borderId="0" xfId="0" applyFont="1" applyBorder="1"/>
    <xf numFmtId="4" fontId="21" fillId="0" borderId="0" xfId="0" applyNumberFormat="1" applyFont="1" applyBorder="1"/>
    <xf numFmtId="164" fontId="21" fillId="0" borderId="3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49" fontId="21" fillId="0" borderId="0" xfId="0" applyNumberFormat="1" applyFont="1" applyBorder="1" applyAlignment="1">
      <alignment vertical="center"/>
    </xf>
    <xf numFmtId="0" fontId="21" fillId="0" borderId="0" xfId="0" applyFont="1" applyAlignment="1">
      <alignment horizontal="left" wrapText="1"/>
    </xf>
    <xf numFmtId="0" fontId="21" fillId="0" borderId="0" xfId="0" applyFont="1" applyBorder="1" applyAlignment="1">
      <alignment vertical="center" wrapText="1"/>
    </xf>
    <xf numFmtId="0" fontId="32" fillId="0" borderId="0" xfId="0" applyFont="1" applyFill="1" applyBorder="1"/>
    <xf numFmtId="0" fontId="21" fillId="0" borderId="0" xfId="0" applyFont="1" applyFill="1" applyBorder="1"/>
    <xf numFmtId="0" fontId="42" fillId="0" borderId="0" xfId="0" applyFont="1" applyFill="1" applyBorder="1" applyAlignment="1">
      <alignment wrapText="1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wrapText="1"/>
    </xf>
    <xf numFmtId="0" fontId="21" fillId="0" borderId="0" xfId="0" applyFont="1" applyBorder="1" applyAlignment="1">
      <alignment horizontal="center"/>
    </xf>
    <xf numFmtId="49" fontId="34" fillId="0" borderId="3" xfId="0" applyNumberFormat="1" applyFont="1" applyFill="1" applyBorder="1" applyAlignment="1">
      <alignment horizontal="center" vertical="center"/>
    </xf>
    <xf numFmtId="0" fontId="47" fillId="0" borderId="3" xfId="0" applyFont="1" applyFill="1" applyBorder="1" applyAlignment="1">
      <alignment horizontal="left" vertical="center" wrapText="1"/>
    </xf>
    <xf numFmtId="49" fontId="47" fillId="0" borderId="3" xfId="0" applyNumberFormat="1" applyFont="1" applyFill="1" applyBorder="1" applyAlignment="1">
      <alignment horizontal="center" vertical="center"/>
    </xf>
    <xf numFmtId="164" fontId="27" fillId="0" borderId="3" xfId="0" applyNumberFormat="1" applyFont="1" applyFill="1" applyBorder="1" applyAlignment="1">
      <alignment horizontal="right" vertical="center"/>
    </xf>
    <xf numFmtId="0" fontId="50" fillId="0" borderId="0" xfId="6" applyFont="1" applyBorder="1" applyAlignment="1">
      <alignment horizontal="left" vertical="center" wrapText="1"/>
    </xf>
    <xf numFmtId="49" fontId="47" fillId="0" borderId="0" xfId="6" applyNumberFormat="1" applyFont="1" applyBorder="1" applyAlignment="1">
      <alignment horizontal="center" vertical="center"/>
    </xf>
    <xf numFmtId="164" fontId="48" fillId="0" borderId="0" xfId="0" applyNumberFormat="1" applyFont="1" applyBorder="1" applyAlignment="1">
      <alignment horizontal="right" vertical="center"/>
    </xf>
    <xf numFmtId="0" fontId="31" fillId="0" borderId="0" xfId="0" applyFont="1" applyAlignment="1">
      <alignment vertical="center" wrapText="1"/>
    </xf>
    <xf numFmtId="0" fontId="27" fillId="0" borderId="0" xfId="0" applyFont="1" applyFill="1" applyBorder="1" applyAlignment="1">
      <alignment wrapText="1"/>
    </xf>
    <xf numFmtId="0" fontId="46" fillId="0" borderId="3" xfId="0" applyFont="1" applyFill="1" applyBorder="1" applyAlignment="1">
      <alignment horizontal="center" vertical="center" textRotation="90" wrapText="1"/>
    </xf>
    <xf numFmtId="0" fontId="46" fillId="0" borderId="3" xfId="0" applyFont="1" applyFill="1" applyBorder="1" applyAlignment="1">
      <alignment horizontal="center" vertical="center" wrapText="1"/>
    </xf>
    <xf numFmtId="164" fontId="48" fillId="0" borderId="3" xfId="0" applyNumberFormat="1" applyFont="1" applyFill="1" applyBorder="1" applyAlignment="1">
      <alignment horizontal="right" vertical="center"/>
    </xf>
    <xf numFmtId="49" fontId="49" fillId="0" borderId="3" xfId="3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Border="1"/>
    <xf numFmtId="164" fontId="18" fillId="0" borderId="0" xfId="0" applyNumberFormat="1" applyFont="1" applyBorder="1"/>
    <xf numFmtId="4" fontId="18" fillId="0" borderId="0" xfId="0" applyNumberFormat="1" applyFont="1" applyBorder="1"/>
    <xf numFmtId="10" fontId="18" fillId="0" borderId="0" xfId="0" applyNumberFormat="1" applyFont="1" applyBorder="1"/>
    <xf numFmtId="164" fontId="18" fillId="0" borderId="0" xfId="0" applyNumberFormat="1" applyFont="1"/>
    <xf numFmtId="0" fontId="18" fillId="0" borderId="0" xfId="0" applyFont="1" applyFill="1" applyBorder="1"/>
    <xf numFmtId="0" fontId="18" fillId="0" borderId="0" xfId="0" applyFont="1" applyAlignment="1">
      <alignment vertical="top"/>
    </xf>
    <xf numFmtId="166" fontId="18" fillId="0" borderId="0" xfId="0" applyNumberFormat="1" applyFont="1"/>
    <xf numFmtId="0" fontId="51" fillId="0" borderId="0" xfId="0" applyFont="1" applyAlignment="1">
      <alignment horizontal="left"/>
    </xf>
    <xf numFmtId="0" fontId="51" fillId="0" borderId="0" xfId="0" applyFont="1" applyAlignment="1"/>
    <xf numFmtId="0" fontId="52" fillId="0" borderId="0" xfId="0" applyFont="1" applyAlignment="1"/>
    <xf numFmtId="0" fontId="53" fillId="0" borderId="0" xfId="0" applyFont="1" applyAlignment="1"/>
    <xf numFmtId="0" fontId="54" fillId="0" borderId="0" xfId="0" applyFont="1" applyFill="1" applyAlignment="1"/>
    <xf numFmtId="0" fontId="53" fillId="0" borderId="0" xfId="0" applyFont="1" applyAlignment="1">
      <alignment horizontal="center"/>
    </xf>
    <xf numFmtId="0" fontId="55" fillId="0" borderId="3" xfId="0" applyFont="1" applyBorder="1" applyAlignment="1">
      <alignment horizontal="center" vertical="center"/>
    </xf>
    <xf numFmtId="0" fontId="55" fillId="0" borderId="3" xfId="5" applyFont="1" applyBorder="1" applyAlignment="1">
      <alignment horizontal="center" vertical="center"/>
    </xf>
    <xf numFmtId="0" fontId="55" fillId="0" borderId="3" xfId="5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/>
    </xf>
    <xf numFmtId="0" fontId="56" fillId="0" borderId="3" xfId="0" applyFont="1" applyBorder="1" applyAlignment="1">
      <alignment horizontal="center"/>
    </xf>
    <xf numFmtId="0" fontId="56" fillId="0" borderId="3" xfId="0" applyFont="1" applyBorder="1" applyAlignment="1">
      <alignment horizontal="center" vertical="center"/>
    </xf>
    <xf numFmtId="0" fontId="52" fillId="0" borderId="0" xfId="0" applyFont="1" applyFill="1" applyBorder="1" applyAlignment="1">
      <alignment horizontal="center"/>
    </xf>
    <xf numFmtId="0" fontId="55" fillId="0" borderId="0" xfId="0" applyFont="1" applyAlignment="1"/>
    <xf numFmtId="0" fontId="57" fillId="0" borderId="0" xfId="0" applyFont="1" applyAlignment="1">
      <alignment vertical="top"/>
    </xf>
    <xf numFmtId="0" fontId="53" fillId="0" borderId="3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/>
    </xf>
    <xf numFmtId="0" fontId="59" fillId="0" borderId="3" xfId="0" applyFont="1" applyBorder="1" applyAlignment="1">
      <alignment horizontal="center"/>
    </xf>
    <xf numFmtId="0" fontId="59" fillId="0" borderId="3" xfId="0" applyFont="1" applyBorder="1" applyAlignment="1">
      <alignment horizontal="center" vertical="center"/>
    </xf>
    <xf numFmtId="0" fontId="53" fillId="0" borderId="3" xfId="0" applyFont="1" applyBorder="1" applyAlignment="1">
      <alignment horizontal="left" vertical="center"/>
    </xf>
    <xf numFmtId="0" fontId="53" fillId="0" borderId="3" xfId="0" applyFont="1" applyBorder="1" applyAlignment="1">
      <alignment horizontal="left" vertical="center" wrapText="1"/>
    </xf>
    <xf numFmtId="49" fontId="60" fillId="0" borderId="3" xfId="3" applyNumberFormat="1" applyFont="1" applyFill="1" applyBorder="1" applyAlignment="1">
      <alignment horizontal="center" vertical="center"/>
    </xf>
    <xf numFmtId="0" fontId="53" fillId="0" borderId="0" xfId="0" applyFont="1" applyFill="1" applyAlignment="1"/>
    <xf numFmtId="0" fontId="55" fillId="0" borderId="3" xfId="0" applyFont="1" applyBorder="1" applyAlignment="1">
      <alignment horizontal="center" vertical="center" wrapText="1"/>
    </xf>
    <xf numFmtId="0" fontId="53" fillId="0" borderId="0" xfId="0" applyFont="1"/>
    <xf numFmtId="0" fontId="5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5" fontId="53" fillId="0" borderId="3" xfId="0" applyNumberFormat="1" applyFont="1" applyFill="1" applyBorder="1" applyAlignment="1">
      <alignment horizontal="right" vertical="center"/>
    </xf>
    <xf numFmtId="165" fontId="18" fillId="0" borderId="0" xfId="0" applyNumberFormat="1" applyFont="1" applyBorder="1"/>
    <xf numFmtId="0" fontId="53" fillId="0" borderId="3" xfId="0" applyFont="1" applyBorder="1" applyAlignment="1">
      <alignment horizontal="center" vertical="center" wrapText="1"/>
    </xf>
    <xf numFmtId="0" fontId="53" fillId="0" borderId="0" xfId="0" applyFont="1" applyBorder="1"/>
    <xf numFmtId="49" fontId="53" fillId="0" borderId="3" xfId="0" applyNumberFormat="1" applyFont="1" applyBorder="1" applyAlignment="1">
      <alignment horizontal="center" vertical="center"/>
    </xf>
    <xf numFmtId="0" fontId="53" fillId="0" borderId="3" xfId="0" applyFont="1" applyBorder="1" applyAlignment="1">
      <alignment vertical="center" wrapText="1"/>
    </xf>
    <xf numFmtId="0" fontId="55" fillId="0" borderId="10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/>
    </xf>
    <xf numFmtId="0" fontId="54" fillId="0" borderId="0" xfId="0" applyFont="1" applyFill="1" applyBorder="1" applyAlignment="1"/>
    <xf numFmtId="0" fontId="56" fillId="0" borderId="3" xfId="0" applyFont="1" applyBorder="1" applyAlignment="1">
      <alignment horizontal="center" vertical="center"/>
    </xf>
    <xf numFmtId="49" fontId="53" fillId="0" borderId="3" xfId="0" applyNumberFormat="1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53" fillId="0" borderId="3" xfId="0" applyFont="1" applyBorder="1" applyAlignment="1">
      <alignment horizontal="left" vertical="center" wrapText="1"/>
    </xf>
    <xf numFmtId="0" fontId="55" fillId="0" borderId="9" xfId="0" applyFont="1" applyBorder="1" applyAlignment="1">
      <alignment horizontal="center" vertical="center" wrapText="1"/>
    </xf>
    <xf numFmtId="0" fontId="62" fillId="0" borderId="0" xfId="0" applyFont="1" applyAlignment="1">
      <alignment horizontal="center"/>
    </xf>
    <xf numFmtId="0" fontId="62" fillId="0" borderId="0" xfId="0" applyFont="1" applyAlignment="1">
      <alignment horizontal="center" vertical="center"/>
    </xf>
    <xf numFmtId="0" fontId="61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Border="1"/>
    <xf numFmtId="0" fontId="17" fillId="0" borderId="21" xfId="0" applyFont="1" applyBorder="1"/>
    <xf numFmtId="0" fontId="17" fillId="0" borderId="23" xfId="0" applyFont="1" applyBorder="1"/>
    <xf numFmtId="164" fontId="17" fillId="6" borderId="3" xfId="0" applyNumberFormat="1" applyFont="1" applyFill="1" applyBorder="1"/>
    <xf numFmtId="0" fontId="53" fillId="0" borderId="24" xfId="0" applyFont="1" applyBorder="1" applyAlignment="1">
      <alignment horizontal="left" vertical="center"/>
    </xf>
    <xf numFmtId="164" fontId="17" fillId="0" borderId="0" xfId="0" applyNumberFormat="1" applyFont="1" applyBorder="1"/>
    <xf numFmtId="4" fontId="17" fillId="0" borderId="0" xfId="0" applyNumberFormat="1" applyFont="1"/>
    <xf numFmtId="0" fontId="53" fillId="0" borderId="24" xfId="0" applyFont="1" applyBorder="1"/>
    <xf numFmtId="0" fontId="5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/>
    </xf>
    <xf numFmtId="164" fontId="17" fillId="0" borderId="0" xfId="0" applyNumberFormat="1" applyFont="1"/>
    <xf numFmtId="0" fontId="17" fillId="0" borderId="0" xfId="0" applyFont="1" applyFill="1" applyBorder="1" applyAlignment="1">
      <alignment horizontal="center"/>
    </xf>
    <xf numFmtId="0" fontId="56" fillId="0" borderId="3" xfId="0" applyFont="1" applyBorder="1" applyAlignment="1">
      <alignment horizontal="left" vertical="center" wrapText="1"/>
    </xf>
    <xf numFmtId="164" fontId="55" fillId="0" borderId="3" xfId="0" applyNumberFormat="1" applyFont="1" applyFill="1" applyBorder="1" applyAlignment="1">
      <alignment vertical="center"/>
    </xf>
    <xf numFmtId="0" fontId="17" fillId="0" borderId="0" xfId="0" applyFont="1" applyFill="1"/>
    <xf numFmtId="0" fontId="55" fillId="0" borderId="3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/>
    </xf>
    <xf numFmtId="0" fontId="56" fillId="0" borderId="3" xfId="0" applyNumberFormat="1" applyFont="1" applyFill="1" applyBorder="1" applyAlignment="1">
      <alignment horizontal="center" vertical="center"/>
    </xf>
    <xf numFmtId="165" fontId="55" fillId="0" borderId="3" xfId="0" applyNumberFormat="1" applyFont="1" applyFill="1" applyBorder="1" applyAlignment="1">
      <alignment vertical="center"/>
    </xf>
    <xf numFmtId="0" fontId="56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/>
    <xf numFmtId="165" fontId="68" fillId="0" borderId="0" xfId="0" applyNumberFormat="1" applyFont="1"/>
    <xf numFmtId="165" fontId="17" fillId="0" borderId="0" xfId="0" applyNumberFormat="1" applyFont="1"/>
    <xf numFmtId="2" fontId="17" fillId="0" borderId="0" xfId="0" applyNumberFormat="1" applyFont="1"/>
    <xf numFmtId="0" fontId="69" fillId="0" borderId="0" xfId="0" applyFont="1" applyAlignment="1">
      <alignment horizontal="center"/>
    </xf>
    <xf numFmtId="3" fontId="55" fillId="0" borderId="3" xfId="0" applyNumberFormat="1" applyFont="1" applyBorder="1" applyAlignment="1">
      <alignment horizontal="center" vertical="center"/>
    </xf>
    <xf numFmtId="4" fontId="69" fillId="0" borderId="0" xfId="0" applyNumberFormat="1" applyFont="1"/>
    <xf numFmtId="165" fontId="17" fillId="0" borderId="0" xfId="0" applyNumberFormat="1" applyFont="1" applyFill="1"/>
    <xf numFmtId="4" fontId="55" fillId="0" borderId="3" xfId="0" applyNumberFormat="1" applyFont="1" applyBorder="1" applyAlignment="1">
      <alignment horizontal="right" vertical="center" wrapText="1"/>
    </xf>
    <xf numFmtId="49" fontId="55" fillId="0" borderId="3" xfId="0" applyNumberFormat="1" applyFont="1" applyBorder="1" applyAlignment="1">
      <alignment horizontal="center" vertical="center"/>
    </xf>
    <xf numFmtId="1" fontId="56" fillId="0" borderId="3" xfId="0" applyNumberFormat="1" applyFont="1" applyFill="1" applyBorder="1" applyAlignment="1">
      <alignment horizontal="center" vertical="center"/>
    </xf>
    <xf numFmtId="1" fontId="56" fillId="0" borderId="3" xfId="0" applyNumberFormat="1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8" fillId="0" borderId="0" xfId="0" applyFont="1" applyFill="1" applyAlignment="1">
      <alignment horizontal="center" vertical="center" wrapText="1"/>
    </xf>
    <xf numFmtId="165" fontId="55" fillId="0" borderId="3" xfId="0" applyNumberFormat="1" applyFont="1" applyFill="1" applyBorder="1" applyAlignment="1">
      <alignment horizontal="center" vertical="center" wrapText="1"/>
    </xf>
    <xf numFmtId="4" fontId="53" fillId="0" borderId="0" xfId="0" applyNumberFormat="1" applyFont="1"/>
    <xf numFmtId="0" fontId="17" fillId="0" borderId="0" xfId="0" applyFont="1" applyAlignment="1"/>
    <xf numFmtId="165" fontId="55" fillId="0" borderId="0" xfId="0" applyNumberFormat="1" applyFont="1" applyFill="1" applyBorder="1"/>
    <xf numFmtId="0" fontId="52" fillId="0" borderId="0" xfId="0" applyFont="1" applyBorder="1" applyAlignment="1">
      <alignment vertical="center"/>
    </xf>
    <xf numFmtId="0" fontId="55" fillId="0" borderId="3" xfId="0" applyFont="1" applyFill="1" applyBorder="1" applyAlignment="1">
      <alignment vertical="center" wrapText="1"/>
    </xf>
    <xf numFmtId="0" fontId="55" fillId="0" borderId="3" xfId="0" applyFont="1" applyBorder="1" applyAlignment="1">
      <alignment vertical="center" wrapText="1"/>
    </xf>
    <xf numFmtId="1" fontId="56" fillId="0" borderId="3" xfId="0" applyNumberFormat="1" applyFont="1" applyBorder="1" applyAlignment="1">
      <alignment horizontal="center" vertical="center"/>
    </xf>
    <xf numFmtId="164" fontId="55" fillId="3" borderId="3" xfId="0" applyNumberFormat="1" applyFont="1" applyFill="1" applyBorder="1" applyAlignment="1">
      <alignment vertical="center"/>
    </xf>
    <xf numFmtId="164" fontId="55" fillId="0" borderId="3" xfId="0" applyNumberFormat="1" applyFont="1" applyFill="1" applyBorder="1" applyAlignment="1">
      <alignment horizontal="right" vertical="center" indent="1"/>
    </xf>
    <xf numFmtId="164" fontId="72" fillId="4" borderId="3" xfId="0" applyNumberFormat="1" applyFont="1" applyFill="1" applyBorder="1" applyAlignment="1">
      <alignment horizontal="right" vertical="center" indent="1"/>
    </xf>
    <xf numFmtId="0" fontId="72" fillId="0" borderId="3" xfId="0" applyFont="1" applyFill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5" fillId="0" borderId="0" xfId="0" applyFont="1" applyAlignment="1">
      <alignment horizontal="center"/>
    </xf>
    <xf numFmtId="0" fontId="55" fillId="0" borderId="0" xfId="0" applyFont="1"/>
    <xf numFmtId="4" fontId="55" fillId="0" borderId="0" xfId="0" applyNumberFormat="1" applyFont="1"/>
    <xf numFmtId="0" fontId="72" fillId="0" borderId="3" xfId="0" applyFont="1" applyBorder="1" applyAlignment="1">
      <alignment horizontal="center" vertical="center" wrapText="1"/>
    </xf>
    <xf numFmtId="4" fontId="72" fillId="0" borderId="3" xfId="0" applyNumberFormat="1" applyFont="1" applyBorder="1" applyAlignment="1">
      <alignment horizontal="right" vertical="center" indent="1"/>
    </xf>
    <xf numFmtId="164" fontId="55" fillId="0" borderId="3" xfId="0" applyNumberFormat="1" applyFont="1" applyBorder="1" applyAlignment="1">
      <alignment horizontal="right" vertical="center" indent="1"/>
    </xf>
    <xf numFmtId="164" fontId="71" fillId="4" borderId="3" xfId="0" applyNumberFormat="1" applyFont="1" applyFill="1" applyBorder="1" applyAlignment="1">
      <alignment horizontal="right" vertical="center" indent="1"/>
    </xf>
    <xf numFmtId="0" fontId="56" fillId="0" borderId="9" xfId="0" applyFont="1" applyBorder="1" applyAlignment="1">
      <alignment horizontal="center" vertical="center"/>
    </xf>
    <xf numFmtId="0" fontId="72" fillId="0" borderId="3" xfId="0" applyFont="1" applyBorder="1" applyAlignment="1">
      <alignment horizontal="center" vertical="center"/>
    </xf>
    <xf numFmtId="4" fontId="72" fillId="0" borderId="3" xfId="0" applyNumberFormat="1" applyFont="1" applyBorder="1" applyAlignment="1">
      <alignment horizontal="right"/>
    </xf>
    <xf numFmtId="4" fontId="17" fillId="0" borderId="3" xfId="0" applyNumberFormat="1" applyFont="1" applyBorder="1" applyAlignment="1">
      <alignment horizontal="right"/>
    </xf>
    <xf numFmtId="165" fontId="53" fillId="0" borderId="0" xfId="0" applyNumberFormat="1" applyFont="1" applyFill="1" applyBorder="1" applyAlignment="1">
      <alignment vertical="center" wrapText="1"/>
    </xf>
    <xf numFmtId="4" fontId="72" fillId="10" borderId="3" xfId="0" applyNumberFormat="1" applyFont="1" applyFill="1" applyBorder="1" applyAlignment="1">
      <alignment horizontal="right"/>
    </xf>
    <xf numFmtId="4" fontId="73" fillId="0" borderId="3" xfId="0" applyNumberFormat="1" applyFont="1" applyFill="1" applyBorder="1" applyAlignment="1">
      <alignment horizontal="right" vertical="center"/>
    </xf>
    <xf numFmtId="4" fontId="72" fillId="0" borderId="3" xfId="0" applyNumberFormat="1" applyFont="1" applyBorder="1" applyAlignment="1">
      <alignment horizontal="right" vertical="center"/>
    </xf>
    <xf numFmtId="165" fontId="72" fillId="0" borderId="3" xfId="0" applyNumberFormat="1" applyFont="1" applyFill="1" applyBorder="1" applyAlignment="1">
      <alignment vertical="center"/>
    </xf>
    <xf numFmtId="4" fontId="72" fillId="0" borderId="0" xfId="0" applyNumberFormat="1" applyFont="1" applyAlignment="1">
      <alignment vertical="center"/>
    </xf>
    <xf numFmtId="4" fontId="72" fillId="0" borderId="3" xfId="0" applyNumberFormat="1" applyFont="1" applyBorder="1" applyAlignment="1">
      <alignment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3" xfId="0" applyFont="1" applyBorder="1" applyAlignment="1">
      <alignment horizontal="center" vertical="center" wrapText="1"/>
    </xf>
    <xf numFmtId="4" fontId="55" fillId="0" borderId="3" xfId="0" applyNumberFormat="1" applyFont="1" applyBorder="1" applyAlignment="1">
      <alignment horizontal="right" vertical="center"/>
    </xf>
    <xf numFmtId="0" fontId="70" fillId="0" borderId="3" xfId="0" applyFont="1" applyBorder="1" applyAlignment="1">
      <alignment horizontal="center" vertical="center"/>
    </xf>
    <xf numFmtId="4" fontId="71" fillId="0" borderId="3" xfId="0" applyNumberFormat="1" applyFont="1" applyFill="1" applyBorder="1" applyAlignment="1">
      <alignment vertical="center"/>
    </xf>
    <xf numFmtId="164" fontId="55" fillId="4" borderId="3" xfId="0" applyNumberFormat="1" applyFont="1" applyFill="1" applyBorder="1" applyAlignment="1">
      <alignment horizontal="right" vertical="center"/>
    </xf>
    <xf numFmtId="165" fontId="73" fillId="3" borderId="3" xfId="0" applyNumberFormat="1" applyFont="1" applyFill="1" applyBorder="1"/>
    <xf numFmtId="165" fontId="73" fillId="3" borderId="3" xfId="0" applyNumberFormat="1" applyFont="1" applyFill="1" applyBorder="1" applyAlignment="1">
      <alignment vertical="center"/>
    </xf>
    <xf numFmtId="4" fontId="55" fillId="0" borderId="3" xfId="0" applyNumberFormat="1" applyFont="1" applyFill="1" applyBorder="1" applyAlignment="1">
      <alignment horizontal="right" vertical="center"/>
    </xf>
    <xf numFmtId="49" fontId="48" fillId="0" borderId="3" xfId="3" applyNumberFormat="1" applyFont="1" applyFill="1" applyBorder="1" applyAlignment="1">
      <alignment horizontal="center" vertical="center"/>
    </xf>
    <xf numFmtId="0" fontId="16" fillId="0" borderId="0" xfId="0" applyFont="1"/>
    <xf numFmtId="0" fontId="75" fillId="0" borderId="0" xfId="0" applyFont="1"/>
    <xf numFmtId="164" fontId="55" fillId="0" borderId="3" xfId="0" applyNumberFormat="1" applyFont="1" applyFill="1" applyBorder="1" applyAlignment="1">
      <alignment horizontal="right" vertical="center"/>
    </xf>
    <xf numFmtId="164" fontId="55" fillId="0" borderId="3" xfId="0" applyNumberFormat="1" applyFont="1" applyBorder="1" applyAlignment="1">
      <alignment vertical="center"/>
    </xf>
    <xf numFmtId="165" fontId="72" fillId="0" borderId="3" xfId="0" applyNumberFormat="1" applyFont="1" applyBorder="1" applyAlignment="1">
      <alignment horizontal="right" vertical="center"/>
    </xf>
    <xf numFmtId="164" fontId="73" fillId="3" borderId="3" xfId="0" applyNumberFormat="1" applyFont="1" applyFill="1" applyBorder="1" applyAlignment="1">
      <alignment vertical="center"/>
    </xf>
    <xf numFmtId="4" fontId="55" fillId="0" borderId="9" xfId="0" applyNumberFormat="1" applyFont="1" applyBorder="1" applyAlignment="1">
      <alignment vertical="center" wrapText="1"/>
    </xf>
    <xf numFmtId="0" fontId="55" fillId="0" borderId="14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/>
    </xf>
    <xf numFmtId="0" fontId="16" fillId="0" borderId="3" xfId="0" applyFont="1" applyBorder="1"/>
    <xf numFmtId="0" fontId="16" fillId="0" borderId="0" xfId="0" applyFont="1" applyAlignment="1">
      <alignment vertical="center"/>
    </xf>
    <xf numFmtId="0" fontId="16" fillId="0" borderId="0" xfId="0" applyFont="1" applyBorder="1"/>
    <xf numFmtId="0" fontId="16" fillId="0" borderId="3" xfId="0" applyFont="1" applyFill="1" applyBorder="1"/>
    <xf numFmtId="4" fontId="72" fillId="0" borderId="10" xfId="0" applyNumberFormat="1" applyFont="1" applyBorder="1" applyAlignment="1">
      <alignment horizontal="right" vertical="center"/>
    </xf>
    <xf numFmtId="165" fontId="73" fillId="3" borderId="3" xfId="0" applyNumberFormat="1" applyFont="1" applyFill="1" applyBorder="1" applyAlignment="1">
      <alignment horizontal="right"/>
    </xf>
    <xf numFmtId="165" fontId="72" fillId="0" borderId="3" xfId="0" applyNumberFormat="1" applyFont="1" applyFill="1" applyBorder="1" applyAlignment="1">
      <alignment horizontal="right" vertical="center"/>
    </xf>
    <xf numFmtId="164" fontId="73" fillId="0" borderId="3" xfId="0" applyNumberFormat="1" applyFont="1" applyFill="1" applyBorder="1" applyAlignment="1">
      <alignment horizontal="right" vertical="center" indent="1"/>
    </xf>
    <xf numFmtId="164" fontId="73" fillId="3" borderId="3" xfId="0" applyNumberFormat="1" applyFont="1" applyFill="1" applyBorder="1" applyAlignment="1">
      <alignment horizontal="right" vertical="center" indent="1"/>
    </xf>
    <xf numFmtId="4" fontId="73" fillId="0" borderId="3" xfId="0" applyNumberFormat="1" applyFont="1" applyFill="1" applyBorder="1" applyAlignment="1">
      <alignment vertical="center"/>
    </xf>
    <xf numFmtId="4" fontId="16" fillId="0" borderId="0" xfId="0" applyNumberFormat="1" applyFont="1"/>
    <xf numFmtId="0" fontId="75" fillId="0" borderId="0" xfId="0" applyFont="1" applyAlignment="1">
      <alignment horizontal="right"/>
    </xf>
    <xf numFmtId="4" fontId="75" fillId="0" borderId="0" xfId="0" applyNumberFormat="1" applyFont="1"/>
    <xf numFmtId="0" fontId="74" fillId="0" borderId="0" xfId="0" applyFont="1" applyAlignment="1">
      <alignment horizontal="right"/>
    </xf>
    <xf numFmtId="4" fontId="74" fillId="0" borderId="0" xfId="0" applyNumberFormat="1" applyFont="1"/>
    <xf numFmtId="49" fontId="55" fillId="0" borderId="9" xfId="0" applyNumberFormat="1" applyFont="1" applyBorder="1" applyAlignment="1">
      <alignment horizontal="center" vertical="center"/>
    </xf>
    <xf numFmtId="164" fontId="72" fillId="0" borderId="3" xfId="0" applyNumberFormat="1" applyFont="1" applyBorder="1" applyAlignment="1">
      <alignment horizontal="right" vertical="center"/>
    </xf>
    <xf numFmtId="164" fontId="73" fillId="3" borderId="3" xfId="0" applyNumberFormat="1" applyFont="1" applyFill="1" applyBorder="1" applyAlignment="1">
      <alignment horizontal="right"/>
    </xf>
    <xf numFmtId="0" fontId="61" fillId="0" borderId="0" xfId="4" applyFont="1" applyAlignment="1">
      <alignment horizontal="center" vertical="center" wrapText="1"/>
    </xf>
    <xf numFmtId="0" fontId="52" fillId="0" borderId="0" xfId="0" applyFont="1" applyBorder="1" applyAlignment="1">
      <alignment horizontal="left" vertical="center"/>
    </xf>
    <xf numFmtId="0" fontId="53" fillId="0" borderId="3" xfId="4" applyFont="1" applyFill="1" applyBorder="1" applyAlignment="1">
      <alignment horizontal="center" vertical="center" wrapText="1"/>
    </xf>
    <xf numFmtId="49" fontId="55" fillId="0" borderId="3" xfId="0" applyNumberFormat="1" applyFont="1" applyBorder="1" applyAlignment="1">
      <alignment horizontal="center" vertical="center" wrapText="1"/>
    </xf>
    <xf numFmtId="4" fontId="53" fillId="0" borderId="3" xfId="5" applyNumberFormat="1" applyFont="1" applyFill="1" applyBorder="1" applyAlignment="1">
      <alignment horizontal="right" vertical="center"/>
    </xf>
    <xf numFmtId="4" fontId="16" fillId="0" borderId="3" xfId="0" applyNumberFormat="1" applyFont="1" applyFill="1" applyBorder="1" applyAlignment="1">
      <alignment horizontal="right" vertical="center"/>
    </xf>
    <xf numFmtId="49" fontId="55" fillId="0" borderId="0" xfId="0" applyNumberFormat="1" applyFont="1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4" fontId="53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49" fontId="53" fillId="0" borderId="0" xfId="0" applyNumberFormat="1" applyFont="1" applyBorder="1" applyAlignment="1">
      <alignment vertical="center" wrapText="1"/>
    </xf>
    <xf numFmtId="0" fontId="53" fillId="0" borderId="0" xfId="0" applyFont="1" applyAlignment="1">
      <alignment horizontal="right" vertical="center"/>
    </xf>
    <xf numFmtId="164" fontId="16" fillId="0" borderId="0" xfId="0" applyNumberFormat="1" applyFont="1" applyAlignment="1">
      <alignment horizontal="right" vertical="center"/>
    </xf>
    <xf numFmtId="49" fontId="53" fillId="0" borderId="0" xfId="0" applyNumberFormat="1" applyFont="1" applyBorder="1" applyAlignment="1">
      <alignment horizontal="center" vertical="center" wrapText="1"/>
    </xf>
    <xf numFmtId="0" fontId="77" fillId="0" borderId="3" xfId="0" applyFont="1" applyBorder="1" applyAlignment="1">
      <alignment horizontal="center" vertical="center"/>
    </xf>
    <xf numFmtId="0" fontId="77" fillId="0" borderId="3" xfId="0" applyFont="1" applyBorder="1" applyAlignment="1">
      <alignment horizontal="center" vertical="center" wrapText="1"/>
    </xf>
    <xf numFmtId="0" fontId="77" fillId="0" borderId="3" xfId="5" applyFont="1" applyBorder="1" applyAlignment="1">
      <alignment horizontal="center" vertical="center" wrapText="1"/>
    </xf>
    <xf numFmtId="2" fontId="53" fillId="0" borderId="3" xfId="0" applyNumberFormat="1" applyFont="1" applyBorder="1" applyAlignment="1">
      <alignment horizontal="right" vertical="center" indent="1"/>
    </xf>
    <xf numFmtId="4" fontId="53" fillId="0" borderId="3" xfId="0" applyNumberFormat="1" applyFont="1" applyBorder="1" applyAlignment="1">
      <alignment horizontal="right" vertical="center"/>
    </xf>
    <xf numFmtId="0" fontId="53" fillId="0" borderId="0" xfId="0" applyNumberFormat="1" applyFont="1" applyAlignment="1">
      <alignment horizontal="right" vertical="center"/>
    </xf>
    <xf numFmtId="164" fontId="53" fillId="0" borderId="0" xfId="0" applyNumberFormat="1" applyFont="1" applyAlignment="1">
      <alignment horizontal="right" vertical="center"/>
    </xf>
    <xf numFmtId="0" fontId="53" fillId="0" borderId="3" xfId="5" applyFont="1" applyBorder="1" applyAlignment="1">
      <alignment horizontal="left" vertical="center" wrapText="1" indent="1"/>
    </xf>
    <xf numFmtId="0" fontId="53" fillId="0" borderId="0" xfId="0" applyNumberFormat="1" applyFont="1" applyBorder="1" applyAlignment="1">
      <alignment horizontal="right" vertical="center"/>
    </xf>
    <xf numFmtId="164" fontId="16" fillId="0" borderId="0" xfId="0" applyNumberFormat="1" applyFont="1" applyBorder="1" applyAlignment="1">
      <alignment horizontal="right" vertical="center"/>
    </xf>
    <xf numFmtId="0" fontId="77" fillId="0" borderId="3" xfId="0" applyFont="1" applyBorder="1" applyAlignment="1">
      <alignment horizontal="left" vertical="center" wrapText="1" indent="1"/>
    </xf>
    <xf numFmtId="0" fontId="53" fillId="0" borderId="0" xfId="0" applyNumberFormat="1" applyFont="1" applyFill="1" applyBorder="1" applyAlignment="1">
      <alignment horizontal="right" vertical="center"/>
    </xf>
    <xf numFmtId="4" fontId="52" fillId="0" borderId="8" xfId="0" applyNumberFormat="1" applyFont="1" applyBorder="1" applyAlignment="1">
      <alignment vertical="center"/>
    </xf>
    <xf numFmtId="164" fontId="78" fillId="0" borderId="0" xfId="0" applyNumberFormat="1" applyFont="1" applyAlignment="1">
      <alignment wrapText="1"/>
    </xf>
    <xf numFmtId="0" fontId="77" fillId="0" borderId="0" xfId="0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/>
    </xf>
    <xf numFmtId="49" fontId="53" fillId="0" borderId="0" xfId="0" applyNumberFormat="1" applyFont="1" applyBorder="1" applyAlignment="1">
      <alignment horizontal="right" vertical="center" wrapText="1"/>
    </xf>
    <xf numFmtId="164" fontId="55" fillId="0" borderId="0" xfId="0" applyNumberFormat="1" applyFont="1" applyAlignment="1">
      <alignment wrapText="1"/>
    </xf>
    <xf numFmtId="49" fontId="53" fillId="0" borderId="0" xfId="0" applyNumberFormat="1" applyFont="1" applyFill="1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 wrapText="1"/>
    </xf>
    <xf numFmtId="164" fontId="53" fillId="0" borderId="0" xfId="0" applyNumberFormat="1" applyFont="1" applyFill="1" applyBorder="1" applyAlignment="1">
      <alignment horizontal="right" vertical="center" wrapText="1"/>
    </xf>
    <xf numFmtId="0" fontId="53" fillId="0" borderId="3" xfId="4" applyFont="1" applyBorder="1" applyAlignment="1">
      <alignment horizontal="center" vertical="center" wrapText="1"/>
    </xf>
    <xf numFmtId="49" fontId="55" fillId="0" borderId="11" xfId="0" applyNumberFormat="1" applyFont="1" applyFill="1" applyBorder="1" applyAlignment="1">
      <alignment horizontal="center" vertical="center" wrapText="1"/>
    </xf>
    <xf numFmtId="164" fontId="53" fillId="0" borderId="3" xfId="5" applyNumberFormat="1" applyFont="1" applyFill="1" applyBorder="1" applyAlignment="1">
      <alignment horizontal="right" vertical="center"/>
    </xf>
    <xf numFmtId="164" fontId="53" fillId="0" borderId="3" xfId="4" applyNumberFormat="1" applyFont="1" applyBorder="1" applyAlignment="1">
      <alignment horizontal="right" vertical="center" wrapText="1"/>
    </xf>
    <xf numFmtId="164" fontId="52" fillId="0" borderId="3" xfId="5" applyNumberFormat="1" applyFont="1" applyFill="1" applyBorder="1" applyAlignment="1">
      <alignment horizontal="right" vertical="center" wrapText="1"/>
    </xf>
    <xf numFmtId="164" fontId="52" fillId="3" borderId="3" xfId="5" applyNumberFormat="1" applyFont="1" applyFill="1" applyBorder="1" applyAlignment="1">
      <alignment horizontal="right" vertical="center" wrapText="1"/>
    </xf>
    <xf numFmtId="164" fontId="53" fillId="0" borderId="3" xfId="0" applyNumberFormat="1" applyFont="1" applyFill="1" applyBorder="1" applyAlignment="1">
      <alignment horizontal="center" vertical="center" wrapText="1"/>
    </xf>
    <xf numFmtId="49" fontId="53" fillId="0" borderId="3" xfId="0" applyNumberFormat="1" applyFont="1" applyFill="1" applyBorder="1" applyAlignment="1">
      <alignment horizontal="center" vertical="center" wrapText="1"/>
    </xf>
    <xf numFmtId="164" fontId="53" fillId="0" borderId="3" xfId="0" applyNumberFormat="1" applyFont="1" applyFill="1" applyBorder="1" applyAlignment="1">
      <alignment horizontal="right" vertical="center" wrapText="1" indent="1"/>
    </xf>
    <xf numFmtId="3" fontId="16" fillId="0" borderId="3" xfId="0" applyNumberFormat="1" applyFont="1" applyFill="1" applyBorder="1" applyAlignment="1">
      <alignment horizontal="right" vertical="center" indent="1"/>
    </xf>
    <xf numFmtId="164" fontId="16" fillId="0" borderId="3" xfId="0" applyNumberFormat="1" applyFont="1" applyFill="1" applyBorder="1" applyAlignment="1">
      <alignment horizontal="right" vertical="center" indent="1"/>
    </xf>
    <xf numFmtId="49" fontId="66" fillId="0" borderId="3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/>
    <xf numFmtId="0" fontId="53" fillId="0" borderId="10" xfId="0" applyFont="1" applyBorder="1" applyAlignment="1">
      <alignment horizontal="center" vertical="center" wrapText="1"/>
    </xf>
    <xf numFmtId="4" fontId="53" fillId="0" borderId="3" xfId="4" applyNumberFormat="1" applyFont="1" applyBorder="1" applyAlignment="1">
      <alignment horizontal="right" vertical="center" wrapText="1"/>
    </xf>
    <xf numFmtId="164" fontId="53" fillId="4" borderId="3" xfId="4" applyNumberFormat="1" applyFont="1" applyFill="1" applyBorder="1" applyAlignment="1">
      <alignment horizontal="right" vertical="center" wrapText="1"/>
    </xf>
    <xf numFmtId="164" fontId="53" fillId="0" borderId="0" xfId="0" applyNumberFormat="1" applyFont="1" applyFill="1" applyBorder="1" applyAlignment="1">
      <alignment horizontal="right" vertical="center"/>
    </xf>
    <xf numFmtId="0" fontId="53" fillId="0" borderId="3" xfId="0" applyFont="1" applyFill="1" applyBorder="1" applyAlignment="1">
      <alignment horizontal="center" vertical="center" wrapText="1"/>
    </xf>
    <xf numFmtId="0" fontId="66" fillId="0" borderId="3" xfId="0" applyFont="1" applyFill="1" applyBorder="1" applyAlignment="1">
      <alignment horizontal="left" vertical="center" wrapText="1"/>
    </xf>
    <xf numFmtId="0" fontId="76" fillId="0" borderId="3" xfId="0" applyFont="1" applyFill="1" applyBorder="1" applyAlignment="1">
      <alignment horizontal="center" vertical="center"/>
    </xf>
    <xf numFmtId="4" fontId="66" fillId="0" borderId="3" xfId="0" applyNumberFormat="1" applyFont="1" applyFill="1" applyBorder="1" applyAlignment="1">
      <alignment horizontal="right" vertical="center"/>
    </xf>
    <xf numFmtId="164" fontId="66" fillId="0" borderId="3" xfId="0" applyNumberFormat="1" applyFont="1" applyFill="1" applyBorder="1" applyAlignment="1">
      <alignment horizontal="right" vertical="center"/>
    </xf>
    <xf numFmtId="0" fontId="53" fillId="0" borderId="3" xfId="0" applyFont="1" applyFill="1" applyBorder="1" applyAlignment="1">
      <alignment horizontal="left" vertical="center" wrapText="1"/>
    </xf>
    <xf numFmtId="0" fontId="56" fillId="0" borderId="3" xfId="0" applyFont="1" applyFill="1" applyBorder="1" applyAlignment="1">
      <alignment horizontal="left" vertical="center" indent="1"/>
    </xf>
    <xf numFmtId="0" fontId="79" fillId="0" borderId="3" xfId="0" applyFont="1" applyFill="1" applyBorder="1" applyAlignment="1">
      <alignment horizontal="left" vertical="center" wrapText="1" indent="1"/>
    </xf>
    <xf numFmtId="0" fontId="56" fillId="0" borderId="3" xfId="0" applyFont="1" applyFill="1" applyBorder="1" applyAlignment="1">
      <alignment horizontal="left" vertical="center" wrapText="1" indent="1"/>
    </xf>
    <xf numFmtId="4" fontId="77" fillId="0" borderId="3" xfId="0" applyNumberFormat="1" applyFont="1" applyFill="1" applyBorder="1" applyAlignment="1">
      <alignment horizontal="left" vertical="center" wrapText="1"/>
    </xf>
    <xf numFmtId="164" fontId="52" fillId="0" borderId="3" xfId="0" applyNumberFormat="1" applyFont="1" applyFill="1" applyBorder="1" applyAlignment="1">
      <alignment horizontal="center" vertical="center"/>
    </xf>
    <xf numFmtId="4" fontId="67" fillId="0" borderId="0" xfId="0" applyNumberFormat="1" applyFont="1" applyBorder="1" applyAlignment="1">
      <alignment horizontal="right" wrapText="1"/>
    </xf>
    <xf numFmtId="4" fontId="77" fillId="0" borderId="3" xfId="0" applyNumberFormat="1" applyFont="1" applyBorder="1" applyAlignment="1">
      <alignment vertical="center"/>
    </xf>
    <xf numFmtId="4" fontId="77" fillId="0" borderId="0" xfId="0" applyNumberFormat="1" applyFont="1" applyBorder="1" applyAlignment="1">
      <alignment horizontal="right" vertical="center"/>
    </xf>
    <xf numFmtId="4" fontId="53" fillId="0" borderId="3" xfId="0" applyNumberFormat="1" applyFont="1" applyBorder="1" applyAlignment="1">
      <alignment vertical="center"/>
    </xf>
    <xf numFmtId="4" fontId="52" fillId="0" borderId="0" xfId="0" applyNumberFormat="1" applyFont="1" applyBorder="1" applyAlignment="1">
      <alignment horizontal="right" vertical="center"/>
    </xf>
    <xf numFmtId="0" fontId="16" fillId="0" borderId="0" xfId="0" applyFont="1" applyFill="1" applyBorder="1"/>
    <xf numFmtId="4" fontId="16" fillId="0" borderId="0" xfId="0" applyNumberFormat="1" applyFont="1" applyBorder="1"/>
    <xf numFmtId="49" fontId="53" fillId="0" borderId="4" xfId="0" applyNumberFormat="1" applyFont="1" applyBorder="1" applyAlignment="1">
      <alignment horizontal="center" vertical="center" wrapText="1"/>
    </xf>
    <xf numFmtId="0" fontId="67" fillId="0" borderId="0" xfId="0" applyFont="1" applyBorder="1" applyAlignment="1">
      <alignment horizontal="left" vertical="center" wrapText="1"/>
    </xf>
    <xf numFmtId="0" fontId="80" fillId="0" borderId="0" xfId="0" applyFont="1" applyBorder="1" applyAlignment="1">
      <alignment horizontal="center" vertical="center"/>
    </xf>
    <xf numFmtId="49" fontId="74" fillId="0" borderId="0" xfId="0" applyNumberFormat="1" applyFont="1" applyBorder="1" applyAlignment="1">
      <alignment horizontal="center" vertical="center"/>
    </xf>
    <xf numFmtId="49" fontId="53" fillId="2" borderId="3" xfId="0" applyNumberFormat="1" applyFont="1" applyFill="1" applyBorder="1" applyAlignment="1">
      <alignment horizontal="center" vertical="center" wrapText="1"/>
    </xf>
    <xf numFmtId="165" fontId="53" fillId="0" borderId="3" xfId="0" applyNumberFormat="1" applyFont="1" applyBorder="1" applyAlignment="1">
      <alignment horizontal="left" vertical="center" wrapText="1"/>
    </xf>
    <xf numFmtId="4" fontId="53" fillId="0" borderId="3" xfId="5" applyNumberFormat="1" applyFont="1" applyFill="1" applyBorder="1" applyAlignment="1">
      <alignment horizontal="right" vertical="center" wrapText="1"/>
    </xf>
    <xf numFmtId="4" fontId="53" fillId="0" borderId="3" xfId="0" applyNumberFormat="1" applyFont="1" applyFill="1" applyBorder="1" applyAlignment="1">
      <alignment horizontal="right" vertical="center" wrapText="1"/>
    </xf>
    <xf numFmtId="165" fontId="53" fillId="0" borderId="0" xfId="0" applyNumberFormat="1" applyFont="1" applyBorder="1" applyAlignment="1">
      <alignment horizontal="left" vertical="center" wrapText="1"/>
    </xf>
    <xf numFmtId="0" fontId="16" fillId="0" borderId="0" xfId="0" applyFont="1" applyFill="1"/>
    <xf numFmtId="0" fontId="77" fillId="0" borderId="3" xfId="0" applyFont="1" applyBorder="1" applyAlignment="1">
      <alignment wrapText="1"/>
    </xf>
    <xf numFmtId="0" fontId="53" fillId="2" borderId="3" xfId="0" applyFont="1" applyFill="1" applyBorder="1" applyAlignment="1">
      <alignment vertical="center" wrapText="1"/>
    </xf>
    <xf numFmtId="0" fontId="77" fillId="0" borderId="3" xfId="0" applyFont="1" applyBorder="1"/>
    <xf numFmtId="0" fontId="77" fillId="0" borderId="3" xfId="0" applyFont="1" applyFill="1" applyBorder="1" applyAlignment="1">
      <alignment wrapText="1"/>
    </xf>
    <xf numFmtId="0" fontId="77" fillId="0" borderId="3" xfId="0" applyFont="1" applyBorder="1" applyAlignment="1">
      <alignment vertical="center"/>
    </xf>
    <xf numFmtId="4" fontId="81" fillId="0" borderId="3" xfId="0" applyNumberFormat="1" applyFont="1" applyBorder="1" applyAlignment="1">
      <alignment horizontal="right" vertical="center"/>
    </xf>
    <xf numFmtId="0" fontId="77" fillId="0" borderId="0" xfId="0" applyFont="1" applyBorder="1"/>
    <xf numFmtId="0" fontId="77" fillId="0" borderId="0" xfId="0" applyFont="1" applyBorder="1" applyAlignment="1">
      <alignment vertical="center"/>
    </xf>
    <xf numFmtId="4" fontId="81" fillId="0" borderId="0" xfId="0" applyNumberFormat="1" applyFont="1" applyBorder="1" applyAlignment="1">
      <alignment horizontal="right" vertical="center"/>
    </xf>
    <xf numFmtId="4" fontId="53" fillId="0" borderId="13" xfId="0" applyNumberFormat="1" applyFont="1" applyFill="1" applyBorder="1" applyAlignment="1" applyProtection="1">
      <alignment horizontal="right" vertical="center" wrapText="1"/>
      <protection locked="0"/>
    </xf>
    <xf numFmtId="164" fontId="53" fillId="0" borderId="0" xfId="5" applyNumberFormat="1" applyFont="1" applyFill="1" applyBorder="1" applyAlignment="1">
      <alignment horizontal="right" vertical="center" wrapText="1"/>
    </xf>
    <xf numFmtId="4" fontId="53" fillId="0" borderId="0" xfId="5" applyNumberFormat="1" applyFont="1" applyFill="1" applyBorder="1" applyAlignment="1">
      <alignment horizontal="right" vertical="center" wrapText="1"/>
    </xf>
    <xf numFmtId="164" fontId="53" fillId="0" borderId="0" xfId="4" applyNumberFormat="1" applyFont="1" applyBorder="1" applyAlignment="1">
      <alignment horizontal="right" vertical="center" wrapText="1"/>
    </xf>
    <xf numFmtId="4" fontId="82" fillId="0" borderId="0" xfId="0" applyNumberFormat="1" applyFont="1" applyBorder="1" applyAlignment="1">
      <alignment horizontal="left" vertical="top"/>
    </xf>
    <xf numFmtId="164" fontId="16" fillId="0" borderId="0" xfId="0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wrapText="1"/>
    </xf>
    <xf numFmtId="4" fontId="16" fillId="0" borderId="3" xfId="0" applyNumberFormat="1" applyFont="1" applyBorder="1" applyAlignment="1">
      <alignment vertical="center"/>
    </xf>
    <xf numFmtId="3" fontId="77" fillId="0" borderId="3" xfId="0" applyNumberFormat="1" applyFont="1" applyBorder="1" applyAlignment="1">
      <alignment horizontal="right" vertical="center"/>
    </xf>
    <xf numFmtId="3" fontId="53" fillId="0" borderId="3" xfId="0" applyNumberFormat="1" applyFont="1" applyBorder="1" applyAlignment="1">
      <alignment horizontal="right" vertical="center"/>
    </xf>
    <xf numFmtId="0" fontId="52" fillId="0" borderId="3" xfId="0" applyFont="1" applyBorder="1"/>
    <xf numFmtId="0" fontId="52" fillId="0" borderId="3" xfId="0" applyFont="1" applyFill="1" applyBorder="1"/>
    <xf numFmtId="49" fontId="53" fillId="0" borderId="0" xfId="0" applyNumberFormat="1" applyFont="1"/>
    <xf numFmtId="4" fontId="16" fillId="0" borderId="3" xfId="0" applyNumberFormat="1" applyFont="1" applyBorder="1"/>
    <xf numFmtId="0" fontId="53" fillId="0" borderId="3" xfId="0" applyFont="1" applyFill="1" applyBorder="1"/>
    <xf numFmtId="3" fontId="53" fillId="0" borderId="3" xfId="0" applyNumberFormat="1" applyFont="1" applyFill="1" applyBorder="1"/>
    <xf numFmtId="3" fontId="53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5" fontId="16" fillId="0" borderId="0" xfId="0" applyNumberFormat="1" applyFont="1" applyFill="1"/>
    <xf numFmtId="0" fontId="53" fillId="0" borderId="0" xfId="0" applyFont="1" applyAlignment="1">
      <alignment horizontal="left" wrapText="1"/>
    </xf>
    <xf numFmtId="0" fontId="53" fillId="0" borderId="0" xfId="0" applyFont="1" applyAlignment="1">
      <alignment horizontal="right"/>
    </xf>
    <xf numFmtId="0" fontId="83" fillId="0" borderId="0" xfId="0" applyFont="1"/>
    <xf numFmtId="49" fontId="53" fillId="0" borderId="0" xfId="0" applyNumberFormat="1" applyFont="1" applyBorder="1"/>
    <xf numFmtId="4" fontId="72" fillId="8" borderId="10" xfId="0" applyNumberFormat="1" applyFont="1" applyFill="1" applyBorder="1" applyAlignment="1">
      <alignment horizontal="right" vertical="center"/>
    </xf>
    <xf numFmtId="164" fontId="72" fillId="8" borderId="3" xfId="0" applyNumberFormat="1" applyFont="1" applyFill="1" applyBorder="1" applyAlignment="1">
      <alignment horizontal="right" vertical="center"/>
    </xf>
    <xf numFmtId="0" fontId="56" fillId="0" borderId="8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49" fontId="55" fillId="0" borderId="8" xfId="0" applyNumberFormat="1" applyFont="1" applyBorder="1" applyAlignment="1">
      <alignment horizontal="center" vertical="center"/>
    </xf>
    <xf numFmtId="165" fontId="72" fillId="0" borderId="8" xfId="0" applyNumberFormat="1" applyFont="1" applyBorder="1" applyAlignment="1">
      <alignment horizontal="right" vertical="center"/>
    </xf>
    <xf numFmtId="2" fontId="16" fillId="0" borderId="0" xfId="0" applyNumberFormat="1" applyFont="1" applyFill="1"/>
    <xf numFmtId="0" fontId="53" fillId="0" borderId="3" xfId="0" applyFont="1" applyFill="1" applyBorder="1" applyAlignment="1">
      <alignment horizontal="center" vertical="center"/>
    </xf>
    <xf numFmtId="9" fontId="55" fillId="0" borderId="3" xfId="0" applyNumberFormat="1" applyFont="1" applyBorder="1" applyAlignment="1">
      <alignment horizontal="center" vertical="center" wrapText="1"/>
    </xf>
    <xf numFmtId="49" fontId="55" fillId="0" borderId="3" xfId="0" applyNumberFormat="1" applyFont="1" applyFill="1" applyBorder="1" applyAlignment="1">
      <alignment horizontal="center" vertical="center"/>
    </xf>
    <xf numFmtId="4" fontId="55" fillId="0" borderId="3" xfId="0" applyNumberFormat="1" applyFont="1" applyFill="1" applyBorder="1" applyAlignment="1">
      <alignment vertical="center"/>
    </xf>
    <xf numFmtId="2" fontId="55" fillId="0" borderId="3" xfId="0" applyNumberFormat="1" applyFont="1" applyFill="1" applyBorder="1" applyAlignment="1">
      <alignment vertical="center"/>
    </xf>
    <xf numFmtId="165" fontId="71" fillId="3" borderId="3" xfId="0" applyNumberFormat="1" applyFont="1" applyFill="1" applyBorder="1"/>
    <xf numFmtId="3" fontId="55" fillId="0" borderId="3" xfId="0" applyNumberFormat="1" applyFont="1" applyFill="1" applyBorder="1" applyAlignment="1">
      <alignment horizontal="center" vertical="center"/>
    </xf>
    <xf numFmtId="164" fontId="71" fillId="3" borderId="3" xfId="0" applyNumberFormat="1" applyFont="1" applyFill="1" applyBorder="1"/>
    <xf numFmtId="164" fontId="22" fillId="0" borderId="3" xfId="5" applyNumberFormat="1" applyFont="1" applyFill="1" applyBorder="1" applyAlignment="1">
      <alignment horizontal="right" vertical="center"/>
    </xf>
    <xf numFmtId="0" fontId="22" fillId="0" borderId="3" xfId="5" applyFont="1" applyFill="1" applyBorder="1" applyAlignment="1">
      <alignment horizontal="center" vertical="center" wrapText="1"/>
    </xf>
    <xf numFmtId="49" fontId="22" fillId="0" borderId="3" xfId="5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/>
    </xf>
    <xf numFmtId="166" fontId="55" fillId="0" borderId="10" xfId="0" applyNumberFormat="1" applyFont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 wrapText="1"/>
    </xf>
    <xf numFmtId="49" fontId="53" fillId="0" borderId="0" xfId="0" applyNumberFormat="1" applyFont="1" applyBorder="1" applyAlignment="1">
      <alignment horizontal="center" vertical="center" wrapText="1"/>
    </xf>
    <xf numFmtId="49" fontId="53" fillId="0" borderId="0" xfId="0" applyNumberFormat="1" applyFont="1" applyBorder="1" applyAlignment="1">
      <alignment horizontal="center" vertical="center" wrapText="1"/>
    </xf>
    <xf numFmtId="0" fontId="15" fillId="0" borderId="0" xfId="0" applyFont="1"/>
    <xf numFmtId="4" fontId="77" fillId="0" borderId="8" xfId="0" applyNumberFormat="1" applyFont="1" applyFill="1" applyBorder="1" applyAlignment="1">
      <alignment vertical="center"/>
    </xf>
    <xf numFmtId="164" fontId="16" fillId="0" borderId="0" xfId="0" applyNumberFormat="1" applyFont="1" applyBorder="1"/>
    <xf numFmtId="0" fontId="86" fillId="0" borderId="3" xfId="0" applyFont="1" applyBorder="1" applyAlignment="1">
      <alignment horizontal="center"/>
    </xf>
    <xf numFmtId="4" fontId="86" fillId="0" borderId="3" xfId="0" applyNumberFormat="1" applyFont="1" applyBorder="1" applyAlignment="1">
      <alignment horizontal="right" vertical="center"/>
    </xf>
    <xf numFmtId="0" fontId="86" fillId="0" borderId="3" xfId="0" applyFont="1" applyBorder="1" applyAlignment="1">
      <alignment horizontal="right" vertical="center"/>
    </xf>
    <xf numFmtId="4" fontId="23" fillId="0" borderId="3" xfId="0" applyNumberFormat="1" applyFont="1" applyBorder="1" applyAlignment="1">
      <alignment horizontal="right" vertical="center"/>
    </xf>
    <xf numFmtId="0" fontId="23" fillId="0" borderId="3" xfId="0" applyFont="1" applyBorder="1" applyAlignment="1">
      <alignment horizontal="right" vertical="center"/>
    </xf>
    <xf numFmtId="4" fontId="23" fillId="2" borderId="3" xfId="0" applyNumberFormat="1" applyFont="1" applyFill="1" applyBorder="1" applyAlignment="1">
      <alignment horizontal="right" vertical="center"/>
    </xf>
    <xf numFmtId="0" fontId="87" fillId="0" borderId="3" xfId="0" applyFont="1" applyBorder="1" applyAlignment="1">
      <alignment horizontal="right" vertical="center"/>
    </xf>
    <xf numFmtId="0" fontId="23" fillId="0" borderId="3" xfId="0" applyFont="1" applyBorder="1" applyAlignment="1">
      <alignment vertical="center"/>
    </xf>
    <xf numFmtId="4" fontId="86" fillId="0" borderId="3" xfId="0" applyNumberFormat="1" applyFont="1" applyFill="1" applyBorder="1" applyAlignment="1">
      <alignment horizontal="right" vertical="center"/>
    </xf>
    <xf numFmtId="165" fontId="16" fillId="0" borderId="0" xfId="0" applyNumberFormat="1" applyFont="1"/>
    <xf numFmtId="164" fontId="53" fillId="0" borderId="3" xfId="4" applyNumberFormat="1" applyFont="1" applyFill="1" applyBorder="1" applyAlignment="1">
      <alignment horizontal="right" vertical="center" wrapText="1"/>
    </xf>
    <xf numFmtId="49" fontId="53" fillId="0" borderId="3" xfId="0" applyNumberFormat="1" applyFont="1" applyBorder="1"/>
    <xf numFmtId="4" fontId="53" fillId="0" borderId="3" xfId="5" applyNumberFormat="1" applyFont="1" applyFill="1" applyBorder="1" applyAlignment="1">
      <alignment vertical="center"/>
    </xf>
    <xf numFmtId="164" fontId="16" fillId="4" borderId="3" xfId="0" applyNumberFormat="1" applyFont="1" applyFill="1" applyBorder="1" applyAlignment="1">
      <alignment horizontal="right" vertical="center"/>
    </xf>
    <xf numFmtId="0" fontId="55" fillId="0" borderId="3" xfId="0" applyFont="1" applyBorder="1" applyAlignment="1">
      <alignment horizontal="left" vertical="center" wrapText="1"/>
    </xf>
    <xf numFmtId="164" fontId="71" fillId="3" borderId="3" xfId="0" applyNumberFormat="1" applyFont="1" applyFill="1" applyBorder="1" applyAlignment="1">
      <alignment horizontal="right" vertical="center" indent="1"/>
    </xf>
    <xf numFmtId="0" fontId="5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3" xfId="0" applyFont="1" applyBorder="1"/>
    <xf numFmtId="167" fontId="18" fillId="0" borderId="3" xfId="0" applyNumberFormat="1" applyFont="1" applyBorder="1" applyAlignment="1">
      <alignment horizontal="center" vertical="center"/>
    </xf>
    <xf numFmtId="0" fontId="53" fillId="0" borderId="3" xfId="0" applyFont="1" applyBorder="1" applyAlignment="1">
      <alignment horizontal="right" vertical="center"/>
    </xf>
    <xf numFmtId="165" fontId="18" fillId="9" borderId="3" xfId="0" applyNumberFormat="1" applyFont="1" applyFill="1" applyBorder="1" applyAlignment="1">
      <alignment vertical="center"/>
    </xf>
    <xf numFmtId="164" fontId="18" fillId="9" borderId="3" xfId="0" applyNumberFormat="1" applyFont="1" applyFill="1" applyBorder="1" applyAlignment="1">
      <alignment vertical="center"/>
    </xf>
    <xf numFmtId="165" fontId="18" fillId="0" borderId="3" xfId="0" applyNumberFormat="1" applyFont="1" applyBorder="1" applyAlignment="1">
      <alignment vertical="center"/>
    </xf>
    <xf numFmtId="167" fontId="53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58" fillId="0" borderId="3" xfId="0" applyFont="1" applyBorder="1" applyAlignment="1">
      <alignment horizontal="right" vertical="center"/>
    </xf>
    <xf numFmtId="10" fontId="72" fillId="0" borderId="3" xfId="0" applyNumberFormat="1" applyFont="1" applyBorder="1" applyAlignment="1">
      <alignment horizontal="left" vertical="center" wrapText="1"/>
    </xf>
    <xf numFmtId="0" fontId="74" fillId="0" borderId="24" xfId="0" applyFont="1" applyBorder="1"/>
    <xf numFmtId="0" fontId="74" fillId="0" borderId="0" xfId="0" applyFont="1" applyBorder="1"/>
    <xf numFmtId="164" fontId="74" fillId="0" borderId="0" xfId="0" applyNumberFormat="1" applyFont="1" applyBorder="1"/>
    <xf numFmtId="0" fontId="74" fillId="0" borderId="21" xfId="0" applyFont="1" applyBorder="1"/>
    <xf numFmtId="165" fontId="74" fillId="0" borderId="0" xfId="0" applyNumberFormat="1" applyFont="1" applyBorder="1"/>
    <xf numFmtId="4" fontId="17" fillId="0" borderId="3" xfId="0" applyNumberFormat="1" applyFont="1" applyBorder="1" applyAlignment="1">
      <alignment vertical="center"/>
    </xf>
    <xf numFmtId="4" fontId="41" fillId="0" borderId="3" xfId="0" applyNumberFormat="1" applyFont="1" applyBorder="1"/>
    <xf numFmtId="167" fontId="53" fillId="11" borderId="0" xfId="0" applyNumberFormat="1" applyFont="1" applyFill="1" applyBorder="1"/>
    <xf numFmtId="167" fontId="74" fillId="11" borderId="0" xfId="0" applyNumberFormat="1" applyFont="1" applyFill="1" applyBorder="1"/>
    <xf numFmtId="167" fontId="53" fillId="11" borderId="22" xfId="0" applyNumberFormat="1" applyFont="1" applyFill="1" applyBorder="1"/>
    <xf numFmtId="0" fontId="75" fillId="7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4" fontId="72" fillId="0" borderId="3" xfId="0" applyNumberFormat="1" applyFont="1" applyBorder="1" applyAlignment="1">
      <alignment vertical="center"/>
    </xf>
    <xf numFmtId="0" fontId="72" fillId="0" borderId="3" xfId="0" applyFont="1" applyBorder="1" applyAlignment="1">
      <alignment horizontal="center" vertical="center"/>
    </xf>
    <xf numFmtId="164" fontId="55" fillId="0" borderId="0" xfId="0" applyNumberFormat="1" applyFont="1" applyAlignment="1">
      <alignment horizontal="left" vertical="center"/>
    </xf>
    <xf numFmtId="4" fontId="72" fillId="0" borderId="3" xfId="0" applyNumberFormat="1" applyFont="1" applyFill="1" applyBorder="1" applyAlignment="1">
      <alignment horizontal="right" vertical="center"/>
    </xf>
    <xf numFmtId="49" fontId="92" fillId="0" borderId="3" xfId="0" applyNumberFormat="1" applyFont="1" applyFill="1" applyBorder="1" applyAlignment="1">
      <alignment horizontal="center" vertical="center"/>
    </xf>
    <xf numFmtId="49" fontId="93" fillId="0" borderId="3" xfId="0" applyNumberFormat="1" applyFont="1" applyFill="1" applyBorder="1" applyAlignment="1">
      <alignment horizontal="center" vertical="center"/>
    </xf>
    <xf numFmtId="49" fontId="93" fillId="0" borderId="3" xfId="3" applyNumberFormat="1" applyFont="1" applyFill="1" applyBorder="1" applyAlignment="1">
      <alignment horizontal="center" vertical="center"/>
    </xf>
    <xf numFmtId="0" fontId="56" fillId="0" borderId="3" xfId="0" applyFont="1" applyBorder="1" applyAlignment="1">
      <alignment horizont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/>
    </xf>
    <xf numFmtId="164" fontId="73" fillId="0" borderId="0" xfId="0" applyNumberFormat="1" applyFont="1" applyFill="1" applyBorder="1" applyAlignment="1">
      <alignment horizontal="right" vertical="center" indent="1"/>
    </xf>
    <xf numFmtId="0" fontId="58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49" fontId="21" fillId="0" borderId="0" xfId="0" applyNumberFormat="1" applyFont="1" applyFill="1" applyAlignment="1">
      <alignment vertical="center"/>
    </xf>
    <xf numFmtId="0" fontId="85" fillId="0" borderId="0" xfId="0" applyFont="1"/>
    <xf numFmtId="4" fontId="85" fillId="0" borderId="0" xfId="0" applyNumberFormat="1" applyFont="1"/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164" fontId="28" fillId="0" borderId="3" xfId="4" applyNumberFormat="1" applyFont="1" applyFill="1" applyBorder="1" applyAlignment="1">
      <alignment vertical="center" wrapText="1"/>
    </xf>
    <xf numFmtId="164" fontId="28" fillId="0" borderId="3" xfId="5" applyNumberFormat="1" applyFont="1" applyFill="1" applyBorder="1" applyAlignment="1">
      <alignment horizontal="right" vertic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/>
    </xf>
    <xf numFmtId="0" fontId="85" fillId="0" borderId="0" xfId="0" applyFont="1" applyAlignment="1">
      <alignment vertical="center"/>
    </xf>
    <xf numFmtId="164" fontId="17" fillId="0" borderId="25" xfId="0" applyNumberFormat="1" applyFont="1" applyBorder="1"/>
    <xf numFmtId="164" fontId="52" fillId="0" borderId="25" xfId="0" applyNumberFormat="1" applyFont="1" applyBorder="1"/>
    <xf numFmtId="164" fontId="61" fillId="7" borderId="26" xfId="0" applyNumberFormat="1" applyFont="1" applyFill="1" applyBorder="1" applyAlignment="1">
      <alignment vertical="center"/>
    </xf>
    <xf numFmtId="164" fontId="52" fillId="0" borderId="23" xfId="0" applyNumberFormat="1" applyFont="1" applyBorder="1"/>
    <xf numFmtId="164" fontId="91" fillId="7" borderId="26" xfId="0" applyNumberFormat="1" applyFont="1" applyFill="1" applyBorder="1"/>
    <xf numFmtId="0" fontId="13" fillId="0" borderId="0" xfId="0" applyFont="1"/>
    <xf numFmtId="0" fontId="85" fillId="0" borderId="0" xfId="0" applyFont="1" applyAlignment="1">
      <alignment horizontal="center" vertical="center"/>
    </xf>
    <xf numFmtId="9" fontId="16" fillId="0" borderId="0" xfId="0" applyNumberFormat="1" applyFont="1"/>
    <xf numFmtId="4" fontId="13" fillId="0" borderId="0" xfId="0" applyNumberFormat="1" applyFont="1"/>
    <xf numFmtId="49" fontId="53" fillId="0" borderId="3" xfId="0" applyNumberFormat="1" applyFont="1" applyBorder="1" applyAlignment="1">
      <alignment horizontal="right" vertical="center" wrapText="1"/>
    </xf>
    <xf numFmtId="10" fontId="53" fillId="0" borderId="3" xfId="0" applyNumberFormat="1" applyFont="1" applyBorder="1" applyAlignment="1">
      <alignment horizontal="center" vertical="center"/>
    </xf>
    <xf numFmtId="4" fontId="53" fillId="0" borderId="3" xfId="5" applyNumberFormat="1" applyFont="1" applyBorder="1" applyAlignment="1">
      <alignment vertical="center"/>
    </xf>
    <xf numFmtId="0" fontId="53" fillId="0" borderId="10" xfId="0" applyFont="1" applyBorder="1" applyAlignment="1">
      <alignment horizontal="left" vertical="center"/>
    </xf>
    <xf numFmtId="0" fontId="66" fillId="0" borderId="3" xfId="0" applyFont="1" applyBorder="1" applyAlignment="1">
      <alignment horizontal="right" vertical="center" wrapText="1"/>
    </xf>
    <xf numFmtId="0" fontId="66" fillId="0" borderId="3" xfId="0" applyNumberFormat="1" applyFont="1" applyBorder="1" applyAlignment="1">
      <alignment horizontal="right" vertical="center"/>
    </xf>
    <xf numFmtId="164" fontId="85" fillId="0" borderId="0" xfId="0" applyNumberFormat="1" applyFont="1" applyBorder="1" applyAlignment="1">
      <alignment horizontal="right" vertical="center"/>
    </xf>
    <xf numFmtId="49" fontId="66" fillId="0" borderId="3" xfId="0" applyNumberFormat="1" applyFont="1" applyBorder="1" applyAlignment="1">
      <alignment horizontal="right" vertical="center" wrapText="1"/>
    </xf>
    <xf numFmtId="10" fontId="66" fillId="0" borderId="3" xfId="0" applyNumberFormat="1" applyFont="1" applyBorder="1" applyAlignment="1">
      <alignment horizontal="center" vertical="center"/>
    </xf>
    <xf numFmtId="49" fontId="66" fillId="0" borderId="0" xfId="0" applyNumberFormat="1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6" fillId="0" borderId="0" xfId="0" applyNumberFormat="1" applyFont="1" applyBorder="1" applyAlignment="1">
      <alignment horizontal="right" vertical="center"/>
    </xf>
    <xf numFmtId="49" fontId="66" fillId="0" borderId="0" xfId="0" applyNumberFormat="1" applyFont="1" applyBorder="1" applyAlignment="1">
      <alignment horizontal="right" vertical="center" wrapText="1"/>
    </xf>
    <xf numFmtId="0" fontId="66" fillId="0" borderId="0" xfId="0" applyFont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 wrapText="1"/>
    </xf>
    <xf numFmtId="4" fontId="72" fillId="0" borderId="3" xfId="0" applyNumberFormat="1" applyFont="1" applyBorder="1" applyAlignment="1">
      <alignment vertical="center"/>
    </xf>
    <xf numFmtId="0" fontId="20" fillId="0" borderId="3" xfId="3" applyBorder="1" applyAlignment="1">
      <alignment vertical="center" wrapText="1"/>
    </xf>
    <xf numFmtId="0" fontId="60" fillId="0" borderId="3" xfId="3" applyFont="1" applyFill="1" applyBorder="1" applyAlignment="1">
      <alignment horizontal="center" vertical="center" wrapText="1"/>
    </xf>
    <xf numFmtId="0" fontId="58" fillId="0" borderId="3" xfId="0" applyFont="1" applyFill="1" applyBorder="1" applyAlignment="1">
      <alignment horizontal="center" vertical="center" wrapText="1"/>
    </xf>
    <xf numFmtId="0" fontId="55" fillId="0" borderId="3" xfId="0" applyFont="1" applyBorder="1" applyAlignment="1">
      <alignment horizontal="left" vertical="center" wrapText="1"/>
    </xf>
    <xf numFmtId="49" fontId="55" fillId="0" borderId="8" xfId="0" applyNumberFormat="1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165" fontId="72" fillId="0" borderId="8" xfId="0" applyNumberFormat="1" applyFont="1" applyBorder="1" applyAlignment="1">
      <alignment horizontal="right" vertical="center"/>
    </xf>
    <xf numFmtId="0" fontId="56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73" fillId="0" borderId="3" xfId="0" applyNumberFormat="1" applyFont="1" applyBorder="1"/>
    <xf numFmtId="4" fontId="23" fillId="0" borderId="3" xfId="0" applyNumberFormat="1" applyFont="1" applyFill="1" applyBorder="1" applyAlignment="1">
      <alignment horizontal="right" vertical="center"/>
    </xf>
    <xf numFmtId="1" fontId="95" fillId="0" borderId="3" xfId="0" applyNumberFormat="1" applyFont="1" applyBorder="1" applyAlignment="1">
      <alignment horizontal="center" vertical="center"/>
    </xf>
    <xf numFmtId="1" fontId="60" fillId="0" borderId="3" xfId="3" applyNumberFormat="1" applyFont="1" applyBorder="1" applyAlignment="1">
      <alignment horizontal="center" vertical="center"/>
    </xf>
    <xf numFmtId="1" fontId="73" fillId="0" borderId="3" xfId="0" applyNumberFormat="1" applyFont="1" applyBorder="1" applyAlignment="1">
      <alignment horizontal="center" vertical="center"/>
    </xf>
    <xf numFmtId="1" fontId="72" fillId="0" borderId="3" xfId="0" applyNumberFormat="1" applyFont="1" applyBorder="1" applyAlignment="1">
      <alignment horizontal="center" vertical="center"/>
    </xf>
    <xf numFmtId="1" fontId="55" fillId="0" borderId="3" xfId="0" applyNumberFormat="1" applyFont="1" applyBorder="1" applyAlignment="1">
      <alignment horizontal="center" vertical="center"/>
    </xf>
    <xf numFmtId="1" fontId="71" fillId="0" borderId="3" xfId="3" applyNumberFormat="1" applyFont="1" applyBorder="1" applyAlignment="1">
      <alignment horizontal="center" vertical="center"/>
    </xf>
    <xf numFmtId="1" fontId="71" fillId="0" borderId="3" xfId="0" applyNumberFormat="1" applyFont="1" applyBorder="1" applyAlignment="1">
      <alignment horizontal="center" vertical="center"/>
    </xf>
    <xf numFmtId="0" fontId="95" fillId="0" borderId="3" xfId="0" applyFont="1" applyBorder="1" applyAlignment="1">
      <alignment horizontal="left" vertical="center" wrapText="1"/>
    </xf>
    <xf numFmtId="0" fontId="60" fillId="0" borderId="3" xfId="3" applyFont="1" applyBorder="1" applyAlignment="1">
      <alignment horizontal="left" vertical="center" wrapText="1"/>
    </xf>
    <xf numFmtId="0" fontId="73" fillId="0" borderId="3" xfId="0" applyFont="1" applyBorder="1" applyAlignment="1">
      <alignment horizontal="left" vertical="center" wrapText="1"/>
    </xf>
    <xf numFmtId="0" fontId="72" fillId="0" borderId="3" xfId="0" applyFont="1" applyBorder="1" applyAlignment="1">
      <alignment horizontal="left" vertical="center" wrapText="1"/>
    </xf>
    <xf numFmtId="0" fontId="71" fillId="0" borderId="3" xfId="3" applyFont="1" applyBorder="1" applyAlignment="1">
      <alignment horizontal="left" vertical="center" wrapText="1"/>
    </xf>
    <xf numFmtId="0" fontId="71" fillId="0" borderId="3" xfId="0" applyFont="1" applyBorder="1" applyAlignment="1">
      <alignment horizontal="left" vertical="center" wrapText="1"/>
    </xf>
    <xf numFmtId="0" fontId="95" fillId="0" borderId="3" xfId="6" applyFont="1" applyBorder="1"/>
    <xf numFmtId="0" fontId="41" fillId="0" borderId="3" xfId="6" applyFont="1" applyBorder="1" applyAlignment="1">
      <alignment horizontal="left" vertical="center" wrapText="1"/>
    </xf>
    <xf numFmtId="164" fontId="27" fillId="0" borderId="3" xfId="3" applyNumberFormat="1" applyFont="1" applyFill="1" applyBorder="1" applyAlignment="1">
      <alignment horizontal="right" vertical="center"/>
    </xf>
    <xf numFmtId="164" fontId="48" fillId="0" borderId="3" xfId="3" applyNumberFormat="1" applyFont="1" applyFill="1" applyBorder="1" applyAlignment="1">
      <alignment horizontal="right" vertical="center"/>
    </xf>
    <xf numFmtId="49" fontId="96" fillId="0" borderId="3" xfId="0" applyNumberFormat="1" applyFont="1" applyFill="1" applyBorder="1" applyAlignment="1">
      <alignment horizontal="center" vertical="center"/>
    </xf>
    <xf numFmtId="164" fontId="96" fillId="0" borderId="3" xfId="0" applyNumberFormat="1" applyFont="1" applyFill="1" applyBorder="1" applyAlignment="1">
      <alignment horizontal="right" vertical="center"/>
    </xf>
    <xf numFmtId="164" fontId="52" fillId="0" borderId="3" xfId="3" applyNumberFormat="1" applyFont="1" applyFill="1" applyBorder="1" applyAlignment="1">
      <alignment horizontal="right" vertical="center"/>
    </xf>
    <xf numFmtId="49" fontId="96" fillId="0" borderId="3" xfId="3" applyNumberFormat="1" applyFont="1" applyFill="1" applyBorder="1" applyAlignment="1">
      <alignment horizontal="center" vertical="center"/>
    </xf>
    <xf numFmtId="164" fontId="96" fillId="0" borderId="3" xfId="3" applyNumberFormat="1" applyFont="1" applyFill="1" applyBorder="1" applyAlignment="1">
      <alignment horizontal="right" vertical="center"/>
    </xf>
    <xf numFmtId="0" fontId="97" fillId="0" borderId="3" xfId="3" applyFont="1" applyFill="1" applyBorder="1" applyAlignment="1">
      <alignment horizontal="left" vertical="center" wrapText="1"/>
    </xf>
    <xf numFmtId="164" fontId="71" fillId="0" borderId="3" xfId="3" applyNumberFormat="1" applyFont="1" applyFill="1" applyBorder="1" applyAlignment="1">
      <alignment horizontal="right" vertical="center"/>
    </xf>
    <xf numFmtId="49" fontId="71" fillId="0" borderId="3" xfId="3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49" fontId="48" fillId="0" borderId="3" xfId="0" applyNumberFormat="1" applyFont="1" applyFill="1" applyBorder="1" applyAlignment="1">
      <alignment horizontal="center" vertical="center"/>
    </xf>
    <xf numFmtId="49" fontId="73" fillId="0" borderId="3" xfId="0" applyNumberFormat="1" applyFont="1" applyBorder="1" applyAlignment="1">
      <alignment horizontal="center" vertical="center"/>
    </xf>
    <xf numFmtId="49" fontId="71" fillId="0" borderId="3" xfId="0" applyNumberFormat="1" applyFont="1" applyBorder="1" applyAlignment="1">
      <alignment horizontal="center" vertical="center"/>
    </xf>
    <xf numFmtId="4" fontId="72" fillId="0" borderId="10" xfId="0" applyNumberFormat="1" applyFont="1" applyFill="1" applyBorder="1" applyAlignment="1">
      <alignment horizontal="right" vertical="center"/>
    </xf>
    <xf numFmtId="0" fontId="21" fillId="0" borderId="0" xfId="5" applyFont="1" applyAlignment="1">
      <alignment horizontal="left" vertical="center" wrapText="1"/>
    </xf>
    <xf numFmtId="0" fontId="52" fillId="0" borderId="3" xfId="3" applyFont="1" applyFill="1" applyBorder="1" applyAlignment="1">
      <alignment horizontal="center" vertical="center" wrapText="1"/>
    </xf>
    <xf numFmtId="0" fontId="52" fillId="0" borderId="3" xfId="3" applyFont="1" applyFill="1" applyBorder="1" applyAlignment="1">
      <alignment horizontal="left" vertical="center" wrapText="1"/>
    </xf>
    <xf numFmtId="49" fontId="32" fillId="0" borderId="3" xfId="3" applyNumberFormat="1" applyFont="1" applyBorder="1" applyAlignment="1">
      <alignment horizontal="center" vertical="center" wrapText="1"/>
    </xf>
    <xf numFmtId="164" fontId="52" fillId="0" borderId="3" xfId="3" applyNumberFormat="1" applyFont="1" applyFill="1" applyBorder="1" applyAlignment="1">
      <alignment horizontal="right" vertical="center" wrapText="1"/>
    </xf>
    <xf numFmtId="0" fontId="32" fillId="0" borderId="3" xfId="3" applyFont="1" applyBorder="1" applyAlignment="1">
      <alignment horizontal="left" vertical="center" wrapText="1"/>
    </xf>
    <xf numFmtId="164" fontId="52" fillId="2" borderId="3" xfId="3" applyNumberFormat="1" applyFont="1" applyFill="1" applyBorder="1" applyAlignment="1">
      <alignment horizontal="right" vertical="center" wrapText="1"/>
    </xf>
    <xf numFmtId="0" fontId="30" fillId="0" borderId="2" xfId="2" applyFont="1" applyAlignment="1">
      <alignment horizontal="left" vertical="center" wrapText="1"/>
    </xf>
    <xf numFmtId="164" fontId="30" fillId="2" borderId="3" xfId="3" applyNumberFormat="1" applyFont="1" applyFill="1" applyBorder="1" applyAlignment="1">
      <alignment horizontal="right" vertical="center" wrapText="1"/>
    </xf>
    <xf numFmtId="164" fontId="32" fillId="2" borderId="3" xfId="3" applyNumberFormat="1" applyFont="1" applyFill="1" applyBorder="1" applyAlignment="1">
      <alignment horizontal="right" vertical="center" wrapText="1"/>
    </xf>
    <xf numFmtId="0" fontId="72" fillId="0" borderId="3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/>
    </xf>
    <xf numFmtId="0" fontId="56" fillId="0" borderId="3" xfId="0" applyFont="1" applyFill="1" applyBorder="1" applyAlignment="1">
      <alignment horizontal="center" vertical="center" wrapText="1"/>
    </xf>
    <xf numFmtId="0" fontId="56" fillId="0" borderId="3" xfId="0" applyFont="1" applyBorder="1" applyAlignment="1">
      <alignment horizont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/>
    </xf>
    <xf numFmtId="4" fontId="55" fillId="0" borderId="10" xfId="0" applyNumberFormat="1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4" fontId="101" fillId="0" borderId="0" xfId="0" applyNumberFormat="1" applyFont="1"/>
    <xf numFmtId="164" fontId="21" fillId="0" borderId="0" xfId="5" applyNumberFormat="1" applyFont="1" applyAlignment="1"/>
    <xf numFmtId="0" fontId="26" fillId="0" borderId="0" xfId="5" applyFont="1" applyAlignment="1">
      <alignment horizontal="center" vertical="center" wrapText="1"/>
    </xf>
    <xf numFmtId="0" fontId="102" fillId="0" borderId="0" xfId="5" applyFont="1" applyAlignment="1">
      <alignment horizontal="center" vertical="center" wrapText="1"/>
    </xf>
    <xf numFmtId="0" fontId="21" fillId="0" borderId="0" xfId="5" applyFont="1" applyAlignment="1">
      <alignment vertical="center"/>
    </xf>
    <xf numFmtId="0" fontId="21" fillId="0" borderId="0" xfId="5" applyFont="1" applyBorder="1" applyAlignment="1">
      <alignment horizontal="right" vertical="center"/>
    </xf>
    <xf numFmtId="4" fontId="21" fillId="0" borderId="0" xfId="5" applyNumberFormat="1" applyFont="1" applyBorder="1" applyAlignment="1">
      <alignment vertical="center"/>
    </xf>
    <xf numFmtId="49" fontId="21" fillId="0" borderId="0" xfId="5" applyNumberFormat="1" applyFont="1" applyAlignment="1">
      <alignment vertical="center"/>
    </xf>
    <xf numFmtId="49" fontId="21" fillId="0" borderId="0" xfId="5" applyNumberFormat="1" applyFont="1" applyFill="1" applyAlignment="1">
      <alignment horizontal="left" vertical="center"/>
    </xf>
    <xf numFmtId="49" fontId="98" fillId="0" borderId="0" xfId="5" applyNumberFormat="1" applyFont="1" applyFill="1" applyAlignment="1">
      <alignment horizontal="left" vertical="center"/>
    </xf>
    <xf numFmtId="49" fontId="22" fillId="0" borderId="0" xfId="5" applyNumberFormat="1" applyFont="1" applyFill="1" applyAlignment="1">
      <alignment horizontal="left" vertical="center"/>
    </xf>
    <xf numFmtId="49" fontId="31" fillId="0" borderId="0" xfId="5" applyNumberFormat="1" applyFont="1" applyFill="1" applyAlignment="1">
      <alignment horizontal="left" vertical="center"/>
    </xf>
    <xf numFmtId="49" fontId="22" fillId="0" borderId="0" xfId="5" applyNumberFormat="1" applyFont="1" applyFill="1" applyAlignment="1">
      <alignment horizontal="left" vertical="center" wrapText="1"/>
    </xf>
    <xf numFmtId="49" fontId="21" fillId="0" borderId="0" xfId="5" applyNumberFormat="1" applyFont="1" applyAlignment="1">
      <alignment horizontal="left" vertical="center"/>
    </xf>
    <xf numFmtId="4" fontId="21" fillId="0" borderId="0" xfId="5" applyNumberFormat="1" applyFont="1" applyBorder="1" applyAlignment="1">
      <alignment horizontal="center" vertical="center" wrapText="1"/>
    </xf>
    <xf numFmtId="4" fontId="21" fillId="0" borderId="0" xfId="5" applyNumberFormat="1" applyFont="1" applyBorder="1" applyAlignment="1">
      <alignment horizontal="right" vertical="center"/>
    </xf>
    <xf numFmtId="4" fontId="21" fillId="0" borderId="0" xfId="5" applyNumberFormat="1" applyFont="1" applyFill="1" applyBorder="1" applyAlignment="1">
      <alignment horizontal="right" vertical="center"/>
    </xf>
    <xf numFmtId="4" fontId="38" fillId="0" borderId="0" xfId="5" applyNumberFormat="1" applyFont="1" applyFill="1" applyBorder="1" applyAlignment="1">
      <alignment horizontal="right" vertical="center"/>
    </xf>
    <xf numFmtId="4" fontId="21" fillId="0" borderId="16" xfId="5" applyNumberFormat="1" applyFont="1" applyFill="1" applyBorder="1" applyAlignment="1">
      <alignment vertical="center"/>
    </xf>
    <xf numFmtId="4" fontId="21" fillId="0" borderId="0" xfId="5" applyNumberFormat="1" applyFont="1" applyFill="1" applyBorder="1" applyAlignment="1">
      <alignment horizontal="center" vertical="center"/>
    </xf>
    <xf numFmtId="4" fontId="38" fillId="0" borderId="0" xfId="5" applyNumberFormat="1" applyFont="1" applyBorder="1" applyAlignment="1">
      <alignment horizontal="right" vertical="center"/>
    </xf>
    <xf numFmtId="4" fontId="21" fillId="0" borderId="0" xfId="5" applyNumberFormat="1" applyFont="1" applyFill="1" applyBorder="1" applyAlignment="1">
      <alignment horizontal="right" vertical="center" wrapText="1"/>
    </xf>
    <xf numFmtId="4" fontId="21" fillId="0" borderId="0" xfId="5" applyNumberFormat="1" applyFont="1" applyAlignment="1">
      <alignment vertical="center" wrapText="1"/>
    </xf>
    <xf numFmtId="4" fontId="21" fillId="0" borderId="0" xfId="5" applyNumberFormat="1" applyFont="1" applyAlignment="1">
      <alignment vertical="center"/>
    </xf>
    <xf numFmtId="0" fontId="85" fillId="0" borderId="0" xfId="0" applyFont="1" applyAlignment="1">
      <alignment wrapText="1"/>
    </xf>
    <xf numFmtId="0" fontId="16" fillId="0" borderId="0" xfId="0" applyFont="1" applyAlignment="1">
      <alignment wrapText="1"/>
    </xf>
    <xf numFmtId="164" fontId="85" fillId="0" borderId="0" xfId="0" applyNumberFormat="1" applyFont="1" applyBorder="1" applyAlignment="1">
      <alignment horizontal="center" vertical="center" wrapText="1"/>
    </xf>
    <xf numFmtId="4" fontId="85" fillId="0" borderId="0" xfId="0" applyNumberFormat="1" applyFont="1" applyAlignment="1">
      <alignment vertical="center"/>
    </xf>
    <xf numFmtId="164" fontId="103" fillId="0" borderId="0" xfId="0" applyNumberFormat="1" applyFont="1" applyAlignment="1">
      <alignment vertical="center" wrapText="1"/>
    </xf>
    <xf numFmtId="4" fontId="85" fillId="0" borderId="0" xfId="0" applyNumberFormat="1" applyFont="1" applyBorder="1" applyAlignment="1">
      <alignment horizontal="right" vertical="center"/>
    </xf>
    <xf numFmtId="0" fontId="85" fillId="0" borderId="0" xfId="0" applyFont="1" applyAlignment="1">
      <alignment horizontal="center" vertical="center" wrapText="1"/>
    </xf>
    <xf numFmtId="4" fontId="85" fillId="0" borderId="0" xfId="0" applyNumberFormat="1" applyFont="1" applyAlignment="1">
      <alignment horizontal="right" vertical="center" wrapText="1"/>
    </xf>
    <xf numFmtId="0" fontId="86" fillId="0" borderId="3" xfId="0" applyFont="1" applyBorder="1" applyAlignment="1">
      <alignment horizontal="center"/>
    </xf>
    <xf numFmtId="0" fontId="77" fillId="0" borderId="3" xfId="0" applyFont="1" applyBorder="1" applyAlignment="1">
      <alignment horizontal="center" vertical="center"/>
    </xf>
    <xf numFmtId="4" fontId="55" fillId="0" borderId="3" xfId="0" applyNumberFormat="1" applyFont="1" applyBorder="1" applyAlignment="1">
      <alignment vertical="center" wrapText="1"/>
    </xf>
    <xf numFmtId="3" fontId="55" fillId="0" borderId="3" xfId="0" applyNumberFormat="1" applyFont="1" applyBorder="1" applyAlignment="1">
      <alignment horizontal="center" wrapText="1"/>
    </xf>
    <xf numFmtId="164" fontId="16" fillId="4" borderId="3" xfId="0" applyNumberFormat="1" applyFont="1" applyFill="1" applyBorder="1" applyAlignment="1">
      <alignment horizontal="right" vertical="center" indent="1"/>
    </xf>
    <xf numFmtId="4" fontId="55" fillId="0" borderId="3" xfId="0" applyNumberFormat="1" applyFont="1" applyBorder="1" applyAlignment="1">
      <alignment vertical="center"/>
    </xf>
    <xf numFmtId="164" fontId="21" fillId="0" borderId="0" xfId="0" applyNumberFormat="1" applyFont="1" applyFill="1"/>
    <xf numFmtId="4" fontId="32" fillId="0" borderId="0" xfId="0" applyNumberFormat="1" applyFont="1" applyFill="1" applyAlignment="1">
      <alignment vertical="center"/>
    </xf>
    <xf numFmtId="4" fontId="21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4" fontId="21" fillId="0" borderId="0" xfId="5" applyNumberFormat="1" applyFont="1" applyFill="1" applyBorder="1" applyAlignment="1">
      <alignment vertical="center"/>
    </xf>
    <xf numFmtId="4" fontId="28" fillId="0" borderId="0" xfId="5" applyNumberFormat="1" applyFont="1" applyFill="1" applyBorder="1" applyAlignment="1">
      <alignment horizontal="right" vertical="center"/>
    </xf>
    <xf numFmtId="4" fontId="10" fillId="0" borderId="3" xfId="0" applyNumberFormat="1" applyFont="1" applyBorder="1" applyAlignment="1">
      <alignment vertical="center"/>
    </xf>
    <xf numFmtId="4" fontId="65" fillId="0" borderId="3" xfId="0" applyNumberFormat="1" applyFont="1" applyBorder="1" applyAlignment="1">
      <alignment horizontal="right" vertical="center" wrapText="1" indent="1"/>
    </xf>
    <xf numFmtId="0" fontId="65" fillId="0" borderId="3" xfId="0" applyFont="1" applyBorder="1" applyAlignment="1">
      <alignment horizontal="center" vertical="center" wrapText="1"/>
    </xf>
    <xf numFmtId="0" fontId="9" fillId="0" borderId="0" xfId="0" applyFont="1" applyBorder="1"/>
    <xf numFmtId="0" fontId="8" fillId="0" borderId="0" xfId="0" applyFont="1" applyBorder="1"/>
    <xf numFmtId="0" fontId="59" fillId="0" borderId="3" xfId="0" applyFont="1" applyFill="1" applyBorder="1" applyAlignment="1">
      <alignment horizontal="left" indent="5"/>
    </xf>
    <xf numFmtId="0" fontId="58" fillId="0" borderId="3" xfId="0" applyFont="1" applyBorder="1" applyAlignment="1">
      <alignment horizontal="right" vertical="center" indent="1"/>
    </xf>
    <xf numFmtId="168" fontId="52" fillId="0" borderId="3" xfId="0" applyNumberFormat="1" applyFont="1" applyFill="1" applyBorder="1" applyAlignment="1">
      <alignment horizontal="right" vertical="center" indent="1"/>
    </xf>
    <xf numFmtId="4" fontId="53" fillId="0" borderId="3" xfId="0" applyNumberFormat="1" applyFont="1" applyFill="1" applyBorder="1" applyAlignment="1">
      <alignment horizontal="right" vertical="center" indent="1"/>
    </xf>
    <xf numFmtId="164" fontId="53" fillId="0" borderId="3" xfId="0" applyNumberFormat="1" applyFont="1" applyFill="1" applyBorder="1" applyAlignment="1">
      <alignment horizontal="right" vertical="center" indent="1"/>
    </xf>
    <xf numFmtId="4" fontId="52" fillId="0" borderId="3" xfId="0" applyNumberFormat="1" applyFont="1" applyFill="1" applyBorder="1" applyAlignment="1">
      <alignment horizontal="right" vertical="center" indent="1"/>
    </xf>
    <xf numFmtId="4" fontId="53" fillId="0" borderId="3" xfId="0" applyNumberFormat="1" applyFont="1" applyFill="1" applyBorder="1" applyAlignment="1">
      <alignment vertical="center"/>
    </xf>
    <xf numFmtId="4" fontId="77" fillId="0" borderId="3" xfId="0" applyNumberFormat="1" applyFont="1" applyFill="1" applyBorder="1" applyAlignment="1">
      <alignment vertical="center" wrapText="1"/>
    </xf>
    <xf numFmtId="4" fontId="52" fillId="0" borderId="3" xfId="0" applyNumberFormat="1" applyFont="1" applyFill="1" applyBorder="1" applyAlignment="1">
      <alignment vertical="center"/>
    </xf>
    <xf numFmtId="0" fontId="85" fillId="0" borderId="0" xfId="0" applyFont="1" applyBorder="1"/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72" fillId="0" borderId="3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/>
    </xf>
    <xf numFmtId="49" fontId="22" fillId="2" borderId="3" xfId="5" applyNumberFormat="1" applyFont="1" applyFill="1" applyBorder="1" applyAlignment="1">
      <alignment horizontal="center" vertical="center" wrapText="1"/>
    </xf>
    <xf numFmtId="0" fontId="22" fillId="0" borderId="3" xfId="5" applyFont="1" applyFill="1" applyBorder="1" applyAlignment="1">
      <alignment horizontal="left" vertical="center" wrapText="1" indent="2"/>
    </xf>
    <xf numFmtId="164" fontId="22" fillId="0" borderId="3" xfId="5" applyNumberFormat="1" applyFont="1" applyFill="1" applyBorder="1" applyAlignment="1">
      <alignment horizontal="right" vertical="center" wrapText="1"/>
    </xf>
    <xf numFmtId="49" fontId="22" fillId="0" borderId="3" xfId="5" applyNumberFormat="1" applyFont="1" applyBorder="1" applyAlignment="1">
      <alignment horizontal="center" vertical="center" wrapText="1"/>
    </xf>
    <xf numFmtId="0" fontId="22" fillId="0" borderId="3" xfId="5" applyFont="1" applyFill="1" applyBorder="1" applyAlignment="1">
      <alignment horizontal="left" vertical="center" wrapText="1" indent="1"/>
    </xf>
    <xf numFmtId="4" fontId="55" fillId="0" borderId="0" xfId="0" applyNumberFormat="1" applyFont="1" applyAlignment="1">
      <alignment horizontal="left"/>
    </xf>
    <xf numFmtId="4" fontId="55" fillId="0" borderId="3" xfId="0" applyNumberFormat="1" applyFont="1" applyBorder="1" applyAlignment="1">
      <alignment horizontal="right" vertical="center" wrapText="1" indent="1"/>
    </xf>
    <xf numFmtId="4" fontId="21" fillId="0" borderId="0" xfId="5" applyNumberFormat="1" applyFont="1" applyFill="1" applyAlignment="1">
      <alignment horizontal="left" vertical="center"/>
    </xf>
    <xf numFmtId="4" fontId="71" fillId="4" borderId="10" xfId="0" applyNumberFormat="1" applyFont="1" applyFill="1" applyBorder="1" applyAlignment="1">
      <alignment horizontal="right"/>
    </xf>
    <xf numFmtId="164" fontId="52" fillId="0" borderId="0" xfId="0" applyNumberFormat="1" applyFont="1" applyFill="1" applyBorder="1" applyAlignment="1">
      <alignment horizontal="left" vertical="center"/>
    </xf>
    <xf numFmtId="49" fontId="30" fillId="0" borderId="3" xfId="3" applyNumberFormat="1" applyFont="1" applyBorder="1" applyAlignment="1">
      <alignment horizontal="center" vertical="center" wrapText="1"/>
    </xf>
    <xf numFmtId="0" fontId="105" fillId="0" borderId="1" xfId="1" applyFont="1" applyAlignment="1">
      <alignment horizontal="left" vertical="center" wrapText="1"/>
    </xf>
    <xf numFmtId="0" fontId="30" fillId="0" borderId="2" xfId="2" applyFont="1" applyAlignment="1">
      <alignment horizontal="left" vertical="center"/>
    </xf>
    <xf numFmtId="0" fontId="30" fillId="0" borderId="2" xfId="2" applyFont="1" applyFill="1" applyAlignment="1">
      <alignment horizontal="left" vertical="center" wrapText="1"/>
    </xf>
    <xf numFmtId="49" fontId="30" fillId="2" borderId="3" xfId="3" applyNumberFormat="1" applyFont="1" applyFill="1" applyBorder="1" applyAlignment="1">
      <alignment horizontal="center" vertical="center" wrapText="1"/>
    </xf>
    <xf numFmtId="165" fontId="30" fillId="0" borderId="3" xfId="3" applyNumberFormat="1" applyFont="1" applyBorder="1" applyAlignment="1">
      <alignment horizontal="left" vertical="center" wrapText="1"/>
    </xf>
    <xf numFmtId="49" fontId="30" fillId="2" borderId="3" xfId="3" applyNumberFormat="1" applyFont="1" applyFill="1" applyBorder="1" applyAlignment="1">
      <alignment horizontal="left" vertical="center" wrapText="1"/>
    </xf>
    <xf numFmtId="0" fontId="105" fillId="0" borderId="1" xfId="1" applyFont="1" applyAlignment="1">
      <alignment horizontal="left" vertical="center"/>
    </xf>
    <xf numFmtId="49" fontId="30" fillId="0" borderId="3" xfId="2" applyNumberFormat="1" applyFont="1" applyFill="1" applyBorder="1" applyAlignment="1">
      <alignment horizontal="center" vertical="center" wrapText="1"/>
    </xf>
    <xf numFmtId="165" fontId="41" fillId="0" borderId="0" xfId="0" applyNumberFormat="1" applyFont="1" applyAlignment="1">
      <alignment vertical="center"/>
    </xf>
    <xf numFmtId="4" fontId="18" fillId="0" borderId="17" xfId="0" applyNumberFormat="1" applyFont="1" applyBorder="1"/>
    <xf numFmtId="4" fontId="18" fillId="0" borderId="20" xfId="0" applyNumberFormat="1" applyFont="1" applyBorder="1"/>
    <xf numFmtId="4" fontId="18" fillId="0" borderId="6" xfId="0" applyNumberFormat="1" applyFont="1" applyBorder="1"/>
    <xf numFmtId="0" fontId="18" fillId="0" borderId="6" xfId="0" applyFont="1" applyBorder="1"/>
    <xf numFmtId="0" fontId="18" fillId="0" borderId="28" xfId="0" applyFont="1" applyBorder="1"/>
    <xf numFmtId="4" fontId="74" fillId="0" borderId="3" xfId="0" applyNumberFormat="1" applyFont="1" applyBorder="1" applyAlignment="1">
      <alignment vertical="center"/>
    </xf>
    <xf numFmtId="49" fontId="66" fillId="0" borderId="0" xfId="0" applyNumberFormat="1" applyFont="1" applyFill="1" applyBorder="1" applyAlignment="1">
      <alignment horizontal="center" vertical="center" wrapText="1"/>
    </xf>
    <xf numFmtId="4" fontId="72" fillId="0" borderId="3" xfId="0" applyNumberFormat="1" applyFont="1" applyBorder="1" applyAlignment="1">
      <alignment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4" fontId="55" fillId="10" borderId="3" xfId="0" applyNumberFormat="1" applyFont="1" applyFill="1" applyBorder="1" applyAlignment="1">
      <alignment horizontal="right" vertical="center" indent="1"/>
    </xf>
    <xf numFmtId="0" fontId="5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left" vertical="center" wrapText="1"/>
    </xf>
    <xf numFmtId="0" fontId="72" fillId="0" borderId="3" xfId="0" applyFont="1" applyBorder="1" applyAlignment="1">
      <alignment horizontal="center" vertical="center"/>
    </xf>
    <xf numFmtId="0" fontId="51" fillId="0" borderId="0" xfId="0" applyFont="1" applyAlignment="1">
      <alignment horizontal="left"/>
    </xf>
    <xf numFmtId="0" fontId="86" fillId="0" borderId="0" xfId="0" applyFont="1" applyBorder="1" applyAlignment="1"/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5" fillId="0" borderId="9" xfId="0" applyFont="1" applyFill="1" applyBorder="1" applyAlignment="1">
      <alignment horizontal="center" vertical="center" wrapText="1"/>
    </xf>
    <xf numFmtId="4" fontId="55" fillId="0" borderId="3" xfId="0" applyNumberFormat="1" applyFont="1" applyBorder="1" applyAlignment="1">
      <alignment horizontal="right" vertical="center" indent="1"/>
    </xf>
    <xf numFmtId="4" fontId="55" fillId="10" borderId="3" xfId="0" applyNumberFormat="1" applyFont="1" applyFill="1" applyBorder="1" applyAlignment="1">
      <alignment horizontal="right" vertical="center" indent="1"/>
    </xf>
    <xf numFmtId="0" fontId="56" fillId="0" borderId="9" xfId="0" applyFont="1" applyBorder="1" applyAlignment="1">
      <alignment horizontal="center" vertical="center"/>
    </xf>
    <xf numFmtId="0" fontId="55" fillId="10" borderId="3" xfId="0" applyFont="1" applyFill="1" applyBorder="1" applyAlignment="1">
      <alignment horizontal="center" vertical="center"/>
    </xf>
    <xf numFmtId="4" fontId="72" fillId="0" borderId="3" xfId="0" applyNumberFormat="1" applyFont="1" applyBorder="1" applyAlignment="1">
      <alignment vertical="center"/>
    </xf>
    <xf numFmtId="0" fontId="72" fillId="0" borderId="3" xfId="0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31" fillId="0" borderId="0" xfId="5" applyFont="1" applyFill="1" applyAlignment="1">
      <alignment horizontal="center"/>
    </xf>
    <xf numFmtId="0" fontId="55" fillId="0" borderId="3" xfId="0" applyFont="1" applyFill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4" fontId="55" fillId="0" borderId="3" xfId="0" applyNumberFormat="1" applyFont="1" applyFill="1" applyBorder="1" applyAlignment="1">
      <alignment horizontal="center" vertical="center" wrapText="1"/>
    </xf>
    <xf numFmtId="0" fontId="59" fillId="0" borderId="3" xfId="0" applyFont="1" applyBorder="1" applyAlignment="1">
      <alignment horizontal="center"/>
    </xf>
    <xf numFmtId="0" fontId="55" fillId="0" borderId="3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/>
    </xf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55" fillId="0" borderId="9" xfId="0" applyFont="1" applyBorder="1" applyAlignment="1">
      <alignment horizontal="center" vertical="center" wrapText="1"/>
    </xf>
    <xf numFmtId="4" fontId="55" fillId="0" borderId="3" xfId="0" applyNumberFormat="1" applyFont="1" applyBorder="1" applyAlignment="1">
      <alignment horizontal="right" vertical="center" indent="1"/>
    </xf>
    <xf numFmtId="4" fontId="55" fillId="10" borderId="3" xfId="0" applyNumberFormat="1" applyFont="1" applyFill="1" applyBorder="1" applyAlignment="1">
      <alignment horizontal="right" vertical="center" indent="1"/>
    </xf>
    <xf numFmtId="0" fontId="55" fillId="0" borderId="9" xfId="0" applyFont="1" applyFill="1" applyBorder="1" applyAlignment="1">
      <alignment horizontal="center" vertical="center" wrapText="1"/>
    </xf>
    <xf numFmtId="0" fontId="56" fillId="0" borderId="9" xfId="0" applyFont="1" applyBorder="1" applyAlignment="1">
      <alignment horizontal="center" vertical="center"/>
    </xf>
    <xf numFmtId="0" fontId="56" fillId="0" borderId="3" xfId="0" applyFont="1" applyFill="1" applyBorder="1" applyAlignment="1">
      <alignment horizontal="center" vertical="center" wrapText="1"/>
    </xf>
    <xf numFmtId="4" fontId="55" fillId="0" borderId="9" xfId="0" applyNumberFormat="1" applyFont="1" applyBorder="1" applyAlignment="1">
      <alignment horizontal="right" vertical="center"/>
    </xf>
    <xf numFmtId="0" fontId="55" fillId="0" borderId="3" xfId="0" applyFont="1" applyBorder="1" applyAlignment="1">
      <alignment horizontal="left" vertical="center"/>
    </xf>
    <xf numFmtId="4" fontId="55" fillId="0" borderId="3" xfId="0" applyNumberFormat="1" applyFont="1" applyFill="1" applyBorder="1" applyAlignment="1">
      <alignment horizontal="right" vertical="center" indent="1"/>
    </xf>
    <xf numFmtId="0" fontId="56" fillId="0" borderId="3" xfId="0" applyNumberFormat="1" applyFont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3" xfId="0" applyFont="1" applyBorder="1" applyAlignment="1"/>
    <xf numFmtId="0" fontId="67" fillId="0" borderId="3" xfId="0" applyFont="1" applyBorder="1" applyAlignment="1">
      <alignment horizontal="left" vertical="center" wrapText="1"/>
    </xf>
    <xf numFmtId="164" fontId="55" fillId="0" borderId="3" xfId="0" applyNumberFormat="1" applyFont="1" applyBorder="1" applyAlignment="1">
      <alignment horizontal="right" vertical="center" wrapText="1" indent="1"/>
    </xf>
    <xf numFmtId="0" fontId="55" fillId="0" borderId="3" xfId="0" applyFont="1" applyFill="1" applyBorder="1" applyAlignment="1">
      <alignment horizontal="left" vertical="center" wrapText="1"/>
    </xf>
    <xf numFmtId="0" fontId="56" fillId="0" borderId="9" xfId="0" applyFont="1" applyFill="1" applyBorder="1" applyAlignment="1">
      <alignment horizontal="center" vertical="center" wrapText="1"/>
    </xf>
    <xf numFmtId="4" fontId="55" fillId="0" borderId="3" xfId="0" applyNumberFormat="1" applyFont="1" applyFill="1" applyBorder="1" applyAlignment="1">
      <alignment horizontal="right" vertical="center" wrapText="1" indent="1"/>
    </xf>
    <xf numFmtId="0" fontId="67" fillId="0" borderId="3" xfId="0" applyFont="1" applyFill="1" applyBorder="1" applyAlignment="1">
      <alignment horizontal="left" vertical="center" wrapText="1"/>
    </xf>
    <xf numFmtId="0" fontId="68" fillId="0" borderId="0" xfId="0" applyFont="1" applyAlignment="1">
      <alignment horizontal="center" vertical="center" wrapText="1"/>
    </xf>
    <xf numFmtId="1" fontId="56" fillId="0" borderId="3" xfId="0" applyNumberFormat="1" applyFont="1" applyFill="1" applyBorder="1" applyAlignment="1">
      <alignment horizontal="center" vertical="center" wrapText="1"/>
    </xf>
    <xf numFmtId="1" fontId="56" fillId="0" borderId="3" xfId="0" applyNumberFormat="1" applyFont="1" applyFill="1" applyBorder="1" applyAlignment="1">
      <alignment horizontal="center" vertical="center"/>
    </xf>
    <xf numFmtId="4" fontId="55" fillId="0" borderId="3" xfId="0" applyNumberFormat="1" applyFont="1" applyFill="1" applyBorder="1" applyAlignment="1">
      <alignment horizontal="center" vertical="center"/>
    </xf>
    <xf numFmtId="0" fontId="55" fillId="10" borderId="3" xfId="0" applyFont="1" applyFill="1" applyBorder="1" applyAlignment="1">
      <alignment horizontal="center" vertical="center"/>
    </xf>
    <xf numFmtId="4" fontId="72" fillId="0" borderId="3" xfId="0" applyNumberFormat="1" applyFont="1" applyBorder="1" applyAlignment="1">
      <alignment vertical="center"/>
    </xf>
    <xf numFmtId="0" fontId="55" fillId="0" borderId="3" xfId="0" applyFont="1" applyBorder="1" applyAlignment="1">
      <alignment vertical="center" wrapText="1"/>
    </xf>
    <xf numFmtId="0" fontId="55" fillId="0" borderId="9" xfId="0" applyFont="1" applyBorder="1" applyAlignment="1">
      <alignment vertical="center" wrapText="1"/>
    </xf>
    <xf numFmtId="0" fontId="72" fillId="0" borderId="3" xfId="0" applyFont="1" applyBorder="1" applyAlignment="1">
      <alignment horizontal="center" vertical="center"/>
    </xf>
    <xf numFmtId="0" fontId="56" fillId="0" borderId="9" xfId="0" applyFont="1" applyBorder="1" applyAlignment="1">
      <alignment vertical="center" wrapText="1"/>
    </xf>
    <xf numFmtId="0" fontId="55" fillId="0" borderId="14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/>
    </xf>
    <xf numFmtId="0" fontId="55" fillId="0" borderId="27" xfId="0" applyFont="1" applyBorder="1" applyAlignment="1">
      <alignment horizontal="left" vertical="center" wrapText="1"/>
    </xf>
    <xf numFmtId="0" fontId="72" fillId="0" borderId="9" xfId="0" applyFont="1" applyBorder="1" applyAlignment="1">
      <alignment horizontal="center" vertical="center"/>
    </xf>
    <xf numFmtId="0" fontId="51" fillId="0" borderId="0" xfId="0" applyFont="1" applyAlignment="1">
      <alignment horizontal="left"/>
    </xf>
    <xf numFmtId="4" fontId="72" fillId="0" borderId="3" xfId="0" applyNumberFormat="1" applyFont="1" applyFill="1" applyBorder="1" applyAlignment="1">
      <alignment vertical="center"/>
    </xf>
    <xf numFmtId="4" fontId="73" fillId="0" borderId="3" xfId="0" applyNumberFormat="1" applyFont="1" applyBorder="1" applyAlignment="1">
      <alignment vertical="center"/>
    </xf>
    <xf numFmtId="0" fontId="72" fillId="10" borderId="3" xfId="0" applyFont="1" applyFill="1" applyBorder="1" applyAlignment="1">
      <alignment horizontal="center" vertical="center"/>
    </xf>
    <xf numFmtId="4" fontId="72" fillId="1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right" vertical="center"/>
    </xf>
    <xf numFmtId="0" fontId="74" fillId="0" borderId="0" xfId="0" applyFont="1"/>
    <xf numFmtId="0" fontId="72" fillId="10" borderId="3" xfId="0" applyFont="1" applyFill="1" applyBorder="1" applyAlignment="1">
      <alignment horizontal="left" vertical="center" wrapText="1"/>
    </xf>
    <xf numFmtId="0" fontId="53" fillId="0" borderId="0" xfId="0" applyFont="1" applyFill="1"/>
    <xf numFmtId="164" fontId="73" fillId="0" borderId="3" xfId="0" applyNumberFormat="1" applyFont="1" applyFill="1" applyBorder="1" applyAlignment="1">
      <alignment horizontal="right" vertical="center"/>
    </xf>
    <xf numFmtId="0" fontId="53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 wrapText="1"/>
    </xf>
    <xf numFmtId="0" fontId="54" fillId="5" borderId="6" xfId="0" applyFont="1" applyFill="1" applyBorder="1" applyAlignment="1">
      <alignment vertical="center"/>
    </xf>
    <xf numFmtId="164" fontId="55" fillId="0" borderId="3" xfId="0" applyNumberFormat="1" applyFont="1" applyBorder="1" applyAlignment="1">
      <alignment vertical="center" wrapText="1"/>
    </xf>
    <xf numFmtId="164" fontId="55" fillId="0" borderId="3" xfId="0" applyNumberFormat="1" applyFont="1" applyFill="1" applyBorder="1" applyAlignment="1">
      <alignment vertical="center" wrapText="1"/>
    </xf>
    <xf numFmtId="164" fontId="71" fillId="3" borderId="3" xfId="0" applyNumberFormat="1" applyFont="1" applyFill="1" applyBorder="1" applyAlignment="1">
      <alignment vertical="center"/>
    </xf>
    <xf numFmtId="0" fontId="71" fillId="0" borderId="0" xfId="0" applyFont="1" applyFill="1" applyBorder="1" applyAlignment="1">
      <alignment horizontal="center" vertical="center"/>
    </xf>
    <xf numFmtId="4" fontId="72" fillId="0" borderId="0" xfId="0" applyNumberFormat="1" applyFont="1" applyBorder="1" applyAlignment="1">
      <alignment vertical="center"/>
    </xf>
    <xf numFmtId="4" fontId="72" fillId="0" borderId="0" xfId="0" applyNumberFormat="1" applyFont="1" applyFill="1" applyBorder="1" applyAlignment="1">
      <alignment vertical="center"/>
    </xf>
    <xf numFmtId="164" fontId="72" fillId="0" borderId="0" xfId="0" applyNumberFormat="1" applyFont="1" applyFill="1" applyBorder="1" applyAlignment="1">
      <alignment horizontal="right" vertical="center" indent="1"/>
    </xf>
    <xf numFmtId="0" fontId="5" fillId="0" borderId="0" xfId="0" applyFont="1"/>
    <xf numFmtId="0" fontId="53" fillId="0" borderId="0" xfId="0" applyFont="1" applyFill="1" applyBorder="1" applyAlignment="1">
      <alignment vertical="center" wrapText="1"/>
    </xf>
    <xf numFmtId="0" fontId="53" fillId="0" borderId="0" xfId="0" applyFont="1" applyFill="1" applyBorder="1" applyAlignment="1">
      <alignment horizontal="left"/>
    </xf>
    <xf numFmtId="4" fontId="17" fillId="0" borderId="0" xfId="0" applyNumberFormat="1" applyFont="1" applyFill="1" applyBorder="1"/>
    <xf numFmtId="0" fontId="41" fillId="0" borderId="0" xfId="0" applyFont="1" applyBorder="1" applyAlignment="1">
      <alignment horizontal="right" vertical="center"/>
    </xf>
    <xf numFmtId="4" fontId="41" fillId="0" borderId="0" xfId="0" applyNumberFormat="1" applyFont="1" applyBorder="1"/>
    <xf numFmtId="164" fontId="106" fillId="0" borderId="25" xfId="0" applyNumberFormat="1" applyFont="1" applyFill="1" applyBorder="1"/>
    <xf numFmtId="4" fontId="73" fillId="0" borderId="3" xfId="0" applyNumberFormat="1" applyFont="1" applyBorder="1" applyAlignment="1">
      <alignment horizontal="right" vertical="center"/>
    </xf>
    <xf numFmtId="4" fontId="71" fillId="0" borderId="3" xfId="0" applyNumberFormat="1" applyFont="1" applyBorder="1" applyAlignment="1">
      <alignment horizontal="center" vertical="center" wrapText="1"/>
    </xf>
    <xf numFmtId="169" fontId="72" fillId="0" borderId="3" xfId="0" applyNumberFormat="1" applyFont="1" applyFill="1" applyBorder="1" applyAlignment="1">
      <alignment horizontal="center" vertical="center"/>
    </xf>
    <xf numFmtId="0" fontId="17" fillId="13" borderId="0" xfId="0" applyFont="1" applyFill="1"/>
    <xf numFmtId="164" fontId="73" fillId="3" borderId="3" xfId="0" applyNumberFormat="1" applyFont="1" applyFill="1" applyBorder="1"/>
    <xf numFmtId="164" fontId="72" fillId="0" borderId="3" xfId="0" applyNumberFormat="1" applyFont="1" applyBorder="1" applyAlignment="1">
      <alignment horizontal="right" vertical="center" indent="1"/>
    </xf>
    <xf numFmtId="4" fontId="71" fillId="11" borderId="3" xfId="0" applyNumberFormat="1" applyFont="1" applyFill="1" applyBorder="1" applyAlignment="1">
      <alignment horizontal="right" vertical="center" indent="1"/>
    </xf>
    <xf numFmtId="4" fontId="73" fillId="11" borderId="3" xfId="0" applyNumberFormat="1" applyFont="1" applyFill="1" applyBorder="1"/>
    <xf numFmtId="4" fontId="55" fillId="11" borderId="3" xfId="0" applyNumberFormat="1" applyFont="1" applyFill="1" applyBorder="1" applyAlignment="1">
      <alignment vertical="center"/>
    </xf>
    <xf numFmtId="4" fontId="72" fillId="11" borderId="3" xfId="0" applyNumberFormat="1" applyFont="1" applyFill="1" applyBorder="1" applyAlignment="1">
      <alignment horizontal="right" vertical="center"/>
    </xf>
    <xf numFmtId="4" fontId="73" fillId="11" borderId="3" xfId="0" applyNumberFormat="1" applyFont="1" applyFill="1" applyBorder="1" applyAlignment="1">
      <alignment vertical="center"/>
    </xf>
    <xf numFmtId="165" fontId="73" fillId="11" borderId="3" xfId="0" applyNumberFormat="1" applyFont="1" applyFill="1" applyBorder="1" applyAlignment="1">
      <alignment vertical="center"/>
    </xf>
    <xf numFmtId="0" fontId="53" fillId="13" borderId="0" xfId="0" applyFont="1" applyFill="1"/>
    <xf numFmtId="169" fontId="55" fillId="0" borderId="3" xfId="0" applyNumberFormat="1" applyFont="1" applyFill="1" applyBorder="1" applyAlignment="1">
      <alignment horizontal="center" vertical="center"/>
    </xf>
    <xf numFmtId="169" fontId="5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4" fontId="73" fillId="11" borderId="3" xfId="0" applyNumberFormat="1" applyFont="1" applyFill="1" applyBorder="1" applyAlignment="1">
      <alignment horizontal="right" vertical="center"/>
    </xf>
    <xf numFmtId="164" fontId="71" fillId="11" borderId="3" xfId="0" applyNumberFormat="1" applyFont="1" applyFill="1" applyBorder="1" applyAlignment="1">
      <alignment horizontal="right" vertical="center" indent="1"/>
    </xf>
    <xf numFmtId="4" fontId="71" fillId="11" borderId="3" xfId="0" applyNumberFormat="1" applyFont="1" applyFill="1" applyBorder="1" applyAlignment="1">
      <alignment vertical="center"/>
    </xf>
    <xf numFmtId="4" fontId="99" fillId="0" borderId="0" xfId="0" applyNumberFormat="1" applyFont="1" applyFill="1" applyBorder="1" applyAlignment="1"/>
    <xf numFmtId="4" fontId="99" fillId="0" borderId="0" xfId="0" applyNumberFormat="1" applyFont="1" applyFill="1" applyBorder="1" applyAlignment="1">
      <alignment horizontal="center"/>
    </xf>
    <xf numFmtId="4" fontId="100" fillId="0" borderId="0" xfId="0" applyNumberFormat="1" applyFont="1" applyFill="1" applyBorder="1" applyAlignment="1"/>
    <xf numFmtId="4" fontId="100" fillId="0" borderId="0" xfId="0" applyNumberFormat="1" applyFont="1" applyFill="1" applyBorder="1" applyAlignment="1">
      <alignment wrapText="1"/>
    </xf>
    <xf numFmtId="4" fontId="71" fillId="11" borderId="3" xfId="0" applyNumberFormat="1" applyFont="1" applyFill="1" applyBorder="1" applyAlignment="1"/>
    <xf numFmtId="0" fontId="51" fillId="0" borderId="0" xfId="0" applyFont="1" applyAlignment="1">
      <alignment vertical="center"/>
    </xf>
    <xf numFmtId="0" fontId="71" fillId="0" borderId="0" xfId="0" applyFont="1" applyBorder="1" applyAlignment="1">
      <alignment horizontal="center"/>
    </xf>
    <xf numFmtId="0" fontId="58" fillId="0" borderId="3" xfId="0" applyFont="1" applyBorder="1" applyAlignment="1">
      <alignment horizontal="center" vertical="center"/>
    </xf>
    <xf numFmtId="4" fontId="95" fillId="0" borderId="3" xfId="0" applyNumberFormat="1" applyFont="1" applyBorder="1" applyAlignment="1">
      <alignment horizontal="right" vertical="center"/>
    </xf>
    <xf numFmtId="0" fontId="58" fillId="0" borderId="3" xfId="0" applyFont="1" applyBorder="1" applyAlignment="1">
      <alignment vertical="center"/>
    </xf>
    <xf numFmtId="4" fontId="71" fillId="11" borderId="3" xfId="0" applyNumberFormat="1" applyFont="1" applyFill="1" applyBorder="1" applyAlignment="1">
      <alignment horizontal="right"/>
    </xf>
    <xf numFmtId="4" fontId="71" fillId="11" borderId="10" xfId="0" applyNumberFormat="1" applyFont="1" applyFill="1" applyBorder="1" applyAlignment="1">
      <alignment horizontal="right"/>
    </xf>
    <xf numFmtId="4" fontId="71" fillId="11" borderId="10" xfId="0" applyNumberFormat="1" applyFont="1" applyFill="1" applyBorder="1" applyAlignment="1">
      <alignment horizontal="right" vertical="center"/>
    </xf>
    <xf numFmtId="0" fontId="52" fillId="0" borderId="0" xfId="0" applyFont="1" applyFill="1" applyBorder="1"/>
    <xf numFmtId="0" fontId="53" fillId="0" borderId="0" xfId="0" applyFont="1" applyFill="1" applyBorder="1"/>
    <xf numFmtId="4" fontId="66" fillId="0" borderId="0" xfId="0" applyNumberFormat="1" applyFont="1" applyFill="1" applyBorder="1" applyAlignment="1">
      <alignment vertical="center"/>
    </xf>
    <xf numFmtId="0" fontId="107" fillId="0" borderId="0" xfId="0" applyFont="1" applyFill="1" applyBorder="1" applyAlignment="1">
      <alignment wrapText="1"/>
    </xf>
    <xf numFmtId="0" fontId="53" fillId="0" borderId="0" xfId="0" applyFont="1" applyFill="1" applyBorder="1" applyAlignment="1"/>
    <xf numFmtId="4" fontId="106" fillId="0" borderId="0" xfId="0" applyNumberFormat="1" applyFont="1" applyFill="1" applyBorder="1" applyAlignment="1">
      <alignment vertical="center"/>
    </xf>
    <xf numFmtId="4" fontId="75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horizontal="center"/>
    </xf>
    <xf numFmtId="4" fontId="75" fillId="0" borderId="0" xfId="0" applyNumberFormat="1" applyFont="1" applyFill="1" applyBorder="1" applyAlignment="1">
      <alignment horizontal="center" vertical="center"/>
    </xf>
    <xf numFmtId="4" fontId="85" fillId="0" borderId="0" xfId="0" applyNumberFormat="1" applyFont="1" applyFill="1" applyBorder="1" applyAlignment="1">
      <alignment vertical="center"/>
    </xf>
    <xf numFmtId="0" fontId="55" fillId="0" borderId="0" xfId="0" applyFont="1" applyFill="1" applyBorder="1" applyAlignment="1">
      <alignment wrapText="1"/>
    </xf>
    <xf numFmtId="0" fontId="74" fillId="0" borderId="0" xfId="0" applyFont="1" applyFill="1" applyBorder="1" applyAlignment="1">
      <alignment wrapText="1"/>
    </xf>
    <xf numFmtId="4" fontId="85" fillId="0" borderId="0" xfId="0" applyNumberFormat="1" applyFont="1" applyFill="1" applyBorder="1" applyAlignment="1">
      <alignment vertical="center" wrapText="1"/>
    </xf>
    <xf numFmtId="4" fontId="66" fillId="0" borderId="0" xfId="0" applyNumberFormat="1" applyFont="1" applyAlignment="1">
      <alignment vertical="center"/>
    </xf>
    <xf numFmtId="0" fontId="53" fillId="0" borderId="0" xfId="0" applyFont="1" applyBorder="1" applyAlignment="1">
      <alignment horizontal="center"/>
    </xf>
    <xf numFmtId="0" fontId="79" fillId="0" borderId="3" xfId="0" applyFont="1" applyFill="1" applyBorder="1" applyAlignment="1">
      <alignment horizontal="center" vertical="center" textRotation="90" wrapText="1"/>
    </xf>
    <xf numFmtId="0" fontId="79" fillId="0" borderId="3" xfId="0" applyFont="1" applyFill="1" applyBorder="1" applyAlignment="1">
      <alignment horizontal="center" vertical="center" wrapText="1"/>
    </xf>
    <xf numFmtId="4" fontId="110" fillId="0" borderId="16" xfId="0" applyNumberFormat="1" applyFont="1" applyFill="1" applyBorder="1" applyAlignment="1">
      <alignment horizontal="center" vertical="center" wrapText="1"/>
    </xf>
    <xf numFmtId="49" fontId="111" fillId="0" borderId="3" xfId="3" applyNumberFormat="1" applyFont="1" applyFill="1" applyBorder="1" applyAlignment="1">
      <alignment horizontal="center" vertical="center"/>
    </xf>
    <xf numFmtId="164" fontId="111" fillId="0" borderId="3" xfId="3" applyNumberFormat="1" applyFont="1" applyFill="1" applyBorder="1" applyAlignment="1">
      <alignment horizontal="right" vertical="center"/>
    </xf>
    <xf numFmtId="49" fontId="112" fillId="0" borderId="3" xfId="0" applyNumberFormat="1" applyFont="1" applyFill="1" applyBorder="1" applyAlignment="1">
      <alignment horizontal="center" vertical="center"/>
    </xf>
    <xf numFmtId="49" fontId="103" fillId="0" borderId="3" xfId="3" applyNumberFormat="1" applyFont="1" applyFill="1" applyBorder="1" applyAlignment="1">
      <alignment horizontal="center" vertical="center"/>
    </xf>
    <xf numFmtId="164" fontId="71" fillId="0" borderId="3" xfId="0" applyNumberFormat="1" applyFont="1" applyFill="1" applyBorder="1" applyAlignment="1">
      <alignment horizontal="right" vertical="center"/>
    </xf>
    <xf numFmtId="49" fontId="103" fillId="0" borderId="3" xfId="0" applyNumberFormat="1" applyFont="1" applyFill="1" applyBorder="1" applyAlignment="1">
      <alignment horizontal="center" vertical="center"/>
    </xf>
    <xf numFmtId="49" fontId="67" fillId="0" borderId="3" xfId="0" applyNumberFormat="1" applyFont="1" applyFill="1" applyBorder="1" applyAlignment="1">
      <alignment horizontal="center" vertical="center"/>
    </xf>
    <xf numFmtId="49" fontId="65" fillId="0" borderId="3" xfId="0" applyNumberFormat="1" applyFont="1" applyFill="1" applyBorder="1" applyAlignment="1">
      <alignment horizontal="center" vertical="center"/>
    </xf>
    <xf numFmtId="49" fontId="113" fillId="0" borderId="3" xfId="3" applyNumberFormat="1" applyFont="1" applyFill="1" applyBorder="1" applyAlignment="1">
      <alignment horizontal="center" vertical="center"/>
    </xf>
    <xf numFmtId="164" fontId="55" fillId="0" borderId="3" xfId="3" applyNumberFormat="1" applyFont="1" applyFill="1" applyBorder="1" applyAlignment="1">
      <alignment horizontal="right" vertical="center"/>
    </xf>
    <xf numFmtId="0" fontId="60" fillId="0" borderId="3" xfId="3" applyFont="1" applyFill="1" applyBorder="1" applyAlignment="1">
      <alignment horizontal="left" vertical="center" wrapText="1"/>
    </xf>
    <xf numFmtId="49" fontId="111" fillId="0" borderId="3" xfId="0" applyNumberFormat="1" applyFont="1" applyFill="1" applyBorder="1" applyAlignment="1">
      <alignment horizontal="center" vertical="center"/>
    </xf>
    <xf numFmtId="164" fontId="111" fillId="0" borderId="3" xfId="0" applyNumberFormat="1" applyFont="1" applyFill="1" applyBorder="1" applyAlignment="1">
      <alignment horizontal="right" vertical="center"/>
    </xf>
    <xf numFmtId="0" fontId="112" fillId="0" borderId="3" xfId="0" applyFont="1" applyFill="1" applyBorder="1" applyAlignment="1">
      <alignment horizontal="left" vertical="center" wrapText="1"/>
    </xf>
    <xf numFmtId="49" fontId="55" fillId="0" borderId="3" xfId="3" applyNumberFormat="1" applyFont="1" applyFill="1" applyBorder="1" applyAlignment="1">
      <alignment horizontal="center" vertical="center"/>
    </xf>
    <xf numFmtId="49" fontId="71" fillId="0" borderId="3" xfId="0" applyNumberFormat="1" applyFont="1" applyFill="1" applyBorder="1" applyAlignment="1">
      <alignment horizontal="center" vertical="center"/>
    </xf>
    <xf numFmtId="0" fontId="114" fillId="0" borderId="0" xfId="6" applyFont="1" applyBorder="1" applyAlignment="1">
      <alignment horizontal="left" vertical="center" wrapText="1"/>
    </xf>
    <xf numFmtId="49" fontId="112" fillId="0" borderId="0" xfId="6" applyNumberFormat="1" applyFont="1" applyBorder="1" applyAlignment="1">
      <alignment horizontal="center" vertical="center"/>
    </xf>
    <xf numFmtId="164" fontId="71" fillId="0" borderId="0" xfId="0" applyNumberFormat="1" applyFont="1" applyBorder="1" applyAlignment="1">
      <alignment horizontal="right" vertical="center"/>
    </xf>
    <xf numFmtId="0" fontId="5" fillId="0" borderId="0" xfId="0" applyFont="1" applyFill="1"/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85" fillId="0" borderId="16" xfId="0" applyNumberFormat="1" applyFont="1" applyFill="1" applyBorder="1" applyAlignment="1">
      <alignment horizontal="center" vertical="center" wrapText="1"/>
    </xf>
    <xf numFmtId="4" fontId="85" fillId="0" borderId="0" xfId="0" applyNumberFormat="1" applyFont="1" applyFill="1" applyAlignment="1">
      <alignment horizontal="center" vertical="center"/>
    </xf>
    <xf numFmtId="4" fontId="100" fillId="0" borderId="0" xfId="0" applyNumberFormat="1" applyFont="1" applyFill="1" applyBorder="1"/>
    <xf numFmtId="4" fontId="100" fillId="0" borderId="0" xfId="0" applyNumberFormat="1" applyFont="1"/>
    <xf numFmtId="4" fontId="100" fillId="0" borderId="16" xfId="0" applyNumberFormat="1" applyFont="1" applyFill="1" applyBorder="1" applyAlignment="1">
      <alignment horizontal="center" vertical="center" wrapText="1"/>
    </xf>
    <xf numFmtId="4" fontId="115" fillId="0" borderId="0" xfId="0" applyNumberFormat="1" applyFont="1"/>
    <xf numFmtId="4" fontId="115" fillId="0" borderId="0" xfId="0" applyNumberFormat="1" applyFont="1" applyFill="1" applyAlignment="1">
      <alignment horizontal="center"/>
    </xf>
    <xf numFmtId="4" fontId="85" fillId="0" borderId="0" xfId="0" applyNumberFormat="1" applyFont="1" applyFill="1" applyBorder="1"/>
    <xf numFmtId="4" fontId="75" fillId="0" borderId="0" xfId="0" applyNumberFormat="1" applyFont="1" applyFill="1" applyBorder="1" applyAlignment="1"/>
    <xf numFmtId="4" fontId="75" fillId="0" borderId="0" xfId="0" applyNumberFormat="1" applyFont="1" applyFill="1" applyBorder="1" applyAlignment="1">
      <alignment horizontal="center"/>
    </xf>
    <xf numFmtId="4" fontId="85" fillId="0" borderId="0" xfId="0" applyNumberFormat="1" applyFont="1" applyFill="1" applyBorder="1" applyAlignment="1"/>
    <xf numFmtId="4" fontId="85" fillId="0" borderId="0" xfId="0" applyNumberFormat="1" applyFont="1" applyFill="1" applyBorder="1" applyAlignment="1">
      <alignment wrapText="1"/>
    </xf>
    <xf numFmtId="4" fontId="85" fillId="0" borderId="0" xfId="0" applyNumberFormat="1" applyFont="1" applyFill="1" applyAlignment="1">
      <alignment horizontal="center"/>
    </xf>
    <xf numFmtId="4" fontId="66" fillId="0" borderId="0" xfId="0" applyNumberFormat="1" applyFont="1" applyFill="1" applyBorder="1"/>
    <xf numFmtId="4" fontId="106" fillId="0" borderId="0" xfId="0" applyNumberFormat="1" applyFont="1" applyFill="1" applyBorder="1" applyAlignment="1"/>
    <xf numFmtId="4" fontId="66" fillId="0" borderId="0" xfId="0" applyNumberFormat="1" applyFont="1"/>
    <xf numFmtId="4" fontId="66" fillId="0" borderId="0" xfId="0" applyNumberFormat="1" applyFont="1" applyFill="1" applyAlignment="1">
      <alignment horizontal="center"/>
    </xf>
    <xf numFmtId="0" fontId="56" fillId="0" borderId="3" xfId="0" applyFont="1" applyBorder="1" applyAlignment="1">
      <alignment horizontal="right" vertical="center"/>
    </xf>
    <xf numFmtId="0" fontId="55" fillId="0" borderId="3" xfId="0" applyFont="1" applyBorder="1" applyAlignment="1">
      <alignment horizontal="left" vertical="center" wrapText="1" indent="1"/>
    </xf>
    <xf numFmtId="0" fontId="52" fillId="0" borderId="0" xfId="0" applyFont="1" applyFill="1" applyBorder="1" applyAlignment="1"/>
    <xf numFmtId="0" fontId="74" fillId="0" borderId="0" xfId="0" applyFont="1" applyFill="1" applyBorder="1" applyAlignment="1"/>
    <xf numFmtId="4" fontId="85" fillId="0" borderId="16" xfId="0" applyNumberFormat="1" applyFont="1" applyFill="1" applyBorder="1" applyAlignment="1">
      <alignment vertical="center" wrapText="1"/>
    </xf>
    <xf numFmtId="4" fontId="85" fillId="0" borderId="0" xfId="0" applyNumberFormat="1" applyFont="1" applyFill="1" applyAlignment="1">
      <alignment vertical="center"/>
    </xf>
    <xf numFmtId="0" fontId="71" fillId="0" borderId="3" xfId="0" applyFont="1" applyFill="1" applyBorder="1" applyAlignment="1">
      <alignment horizontal="left" vertical="center" wrapText="1"/>
    </xf>
    <xf numFmtId="49" fontId="112" fillId="4" borderId="3" xfId="0" applyNumberFormat="1" applyFont="1" applyFill="1" applyBorder="1" applyAlignment="1">
      <alignment horizontal="center" vertical="center"/>
    </xf>
    <xf numFmtId="49" fontId="53" fillId="0" borderId="3" xfId="0" applyNumberFormat="1" applyFont="1" applyBorder="1" applyAlignment="1">
      <alignment horizontal="right" vertical="center"/>
    </xf>
    <xf numFmtId="4" fontId="110" fillId="0" borderId="16" xfId="0" applyNumberFormat="1" applyFont="1" applyFill="1" applyBorder="1" applyAlignment="1">
      <alignment vertical="center" wrapText="1"/>
    </xf>
    <xf numFmtId="4" fontId="66" fillId="0" borderId="0" xfId="0" applyNumberFormat="1" applyFont="1" applyFill="1" applyAlignment="1">
      <alignment vertical="center"/>
    </xf>
    <xf numFmtId="0" fontId="66" fillId="0" borderId="0" xfId="0" applyFont="1" applyFill="1" applyBorder="1" applyAlignment="1">
      <alignment vertical="center"/>
    </xf>
    <xf numFmtId="0" fontId="106" fillId="0" borderId="0" xfId="0" applyFont="1" applyFill="1" applyBorder="1" applyAlignment="1">
      <alignment vertical="center"/>
    </xf>
    <xf numFmtId="0" fontId="75" fillId="0" borderId="0" xfId="0" applyFont="1" applyFill="1" applyBorder="1" applyAlignment="1">
      <alignment vertical="center"/>
    </xf>
    <xf numFmtId="0" fontId="85" fillId="0" borderId="0" xfId="0" applyFont="1" applyFill="1" applyBorder="1" applyAlignment="1">
      <alignment vertical="center"/>
    </xf>
    <xf numFmtId="0" fontId="85" fillId="0" borderId="0" xfId="0" applyFont="1" applyFill="1" applyBorder="1" applyAlignment="1">
      <alignment vertical="center" wrapText="1"/>
    </xf>
    <xf numFmtId="0" fontId="66" fillId="0" borderId="0" xfId="0" applyFont="1" applyAlignment="1">
      <alignment vertical="center"/>
    </xf>
    <xf numFmtId="0" fontId="85" fillId="0" borderId="16" xfId="0" applyFont="1" applyFill="1" applyBorder="1" applyAlignment="1">
      <alignment vertical="center" wrapText="1"/>
    </xf>
    <xf numFmtId="0" fontId="108" fillId="0" borderId="0" xfId="0" applyFont="1" applyFill="1" applyBorder="1" applyAlignment="1"/>
    <xf numFmtId="0" fontId="74" fillId="0" borderId="0" xfId="0" applyFont="1" applyFill="1" applyBorder="1" applyAlignment="1">
      <alignment horizontal="center"/>
    </xf>
    <xf numFmtId="0" fontId="51" fillId="0" borderId="0" xfId="0" applyFont="1"/>
    <xf numFmtId="4" fontId="75" fillId="0" borderId="0" xfId="0" applyNumberFormat="1" applyFont="1" applyAlignment="1">
      <alignment vertical="center"/>
    </xf>
    <xf numFmtId="164" fontId="21" fillId="0" borderId="0" xfId="5" applyNumberFormat="1" applyFont="1" applyFill="1"/>
    <xf numFmtId="0" fontId="68" fillId="0" borderId="16" xfId="0" applyFont="1" applyBorder="1" applyAlignment="1">
      <alignment vertical="center" wrapText="1"/>
    </xf>
    <xf numFmtId="0" fontId="68" fillId="0" borderId="0" xfId="0" applyFont="1" applyAlignment="1">
      <alignment vertical="center" wrapText="1"/>
    </xf>
    <xf numFmtId="0" fontId="86" fillId="0" borderId="3" xfId="0" applyFont="1" applyBorder="1" applyAlignment="1">
      <alignment horizontal="center"/>
    </xf>
    <xf numFmtId="49" fontId="88" fillId="0" borderId="0" xfId="0" applyNumberFormat="1" applyFont="1" applyBorder="1" applyAlignment="1">
      <alignment wrapText="1"/>
    </xf>
    <xf numFmtId="49" fontId="88" fillId="0" borderId="6" xfId="0" applyNumberFormat="1" applyFont="1" applyBorder="1" applyAlignment="1">
      <alignment wrapText="1"/>
    </xf>
    <xf numFmtId="164" fontId="21" fillId="8" borderId="0" xfId="0" applyNumberFormat="1" applyFont="1" applyFill="1"/>
    <xf numFmtId="167" fontId="21" fillId="0" borderId="0" xfId="0" applyNumberFormat="1" applyFont="1"/>
    <xf numFmtId="0" fontId="4" fillId="0" borderId="0" xfId="0" applyFont="1"/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left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170" fontId="116" fillId="0" borderId="3" xfId="0" applyNumberFormat="1" applyFont="1" applyBorder="1" applyAlignment="1">
      <alignment horizontal="right" vertical="center" indent="1"/>
    </xf>
    <xf numFmtId="164" fontId="72" fillId="10" borderId="3" xfId="0" applyNumberFormat="1" applyFont="1" applyFill="1" applyBorder="1" applyAlignment="1">
      <alignment vertical="center"/>
    </xf>
    <xf numFmtId="164" fontId="72" fillId="0" borderId="3" xfId="0" applyNumberFormat="1" applyFont="1" applyBorder="1" applyAlignment="1">
      <alignment vertical="center"/>
    </xf>
    <xf numFmtId="164" fontId="73" fillId="4" borderId="3" xfId="0" applyNumberFormat="1" applyFont="1" applyFill="1" applyBorder="1" applyAlignment="1">
      <alignment vertical="center"/>
    </xf>
    <xf numFmtId="164" fontId="73" fillId="0" borderId="3" xfId="0" applyNumberFormat="1" applyFont="1" applyFill="1" applyBorder="1" applyAlignment="1">
      <alignment vertical="center"/>
    </xf>
    <xf numFmtId="4" fontId="66" fillId="0" borderId="3" xfId="0" applyNumberFormat="1" applyFont="1" applyBorder="1" applyAlignment="1">
      <alignment horizontal="right" vertical="center"/>
    </xf>
    <xf numFmtId="4" fontId="85" fillId="0" borderId="0" xfId="0" applyNumberFormat="1" applyFont="1" applyBorder="1" applyAlignment="1">
      <alignment vertical="center" wrapText="1"/>
    </xf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/>
    </xf>
    <xf numFmtId="4" fontId="58" fillId="0" borderId="3" xfId="0" applyNumberFormat="1" applyFont="1" applyBorder="1"/>
    <xf numFmtId="0" fontId="117" fillId="0" borderId="0" xfId="0" applyFont="1"/>
    <xf numFmtId="167" fontId="117" fillId="0" borderId="0" xfId="0" applyNumberFormat="1" applyFont="1" applyBorder="1" applyAlignment="1">
      <alignment horizontal="right" indent="1"/>
    </xf>
    <xf numFmtId="164" fontId="117" fillId="0" borderId="0" xfId="0" applyNumberFormat="1" applyFont="1" applyBorder="1" applyAlignment="1">
      <alignment horizontal="right" indent="1"/>
    </xf>
    <xf numFmtId="0" fontId="117" fillId="0" borderId="0" xfId="0" applyFont="1" applyAlignment="1">
      <alignment wrapText="1"/>
    </xf>
    <xf numFmtId="0" fontId="118" fillId="0" borderId="0" xfId="0" applyFont="1"/>
    <xf numFmtId="164" fontId="117" fillId="0" borderId="0" xfId="0" applyNumberFormat="1" applyFont="1"/>
    <xf numFmtId="4" fontId="119" fillId="0" borderId="0" xfId="0" applyNumberFormat="1" applyFont="1" applyBorder="1"/>
    <xf numFmtId="167" fontId="119" fillId="0" borderId="0" xfId="0" applyNumberFormat="1" applyFont="1" applyBorder="1" applyAlignment="1">
      <alignment horizontal="right" indent="1"/>
    </xf>
    <xf numFmtId="0" fontId="119" fillId="0" borderId="0" xfId="0" applyFont="1"/>
    <xf numFmtId="164" fontId="119" fillId="0" borderId="0" xfId="0" applyNumberFormat="1" applyFont="1" applyBorder="1" applyAlignment="1">
      <alignment horizontal="right" indent="1"/>
    </xf>
    <xf numFmtId="0" fontId="119" fillId="0" borderId="0" xfId="0" applyFont="1" applyAlignment="1">
      <alignment wrapText="1"/>
    </xf>
    <xf numFmtId="0" fontId="120" fillId="0" borderId="0" xfId="0" applyFont="1"/>
    <xf numFmtId="164" fontId="119" fillId="0" borderId="0" xfId="0" applyNumberFormat="1" applyFont="1"/>
    <xf numFmtId="4" fontId="72" fillId="0" borderId="9" xfId="0" applyNumberFormat="1" applyFont="1" applyBorder="1" applyAlignment="1">
      <alignment horizontal="right" vertical="center" wrapText="1"/>
    </xf>
    <xf numFmtId="0" fontId="32" fillId="0" borderId="3" xfId="3" applyFont="1" applyFill="1" applyBorder="1" applyAlignment="1">
      <alignment horizontal="left" vertical="center" wrapText="1"/>
    </xf>
    <xf numFmtId="0" fontId="34" fillId="0" borderId="3" xfId="0" applyFont="1" applyFill="1" applyBorder="1" applyAlignment="1">
      <alignment horizontal="left" vertical="center" wrapText="1" indent="1"/>
    </xf>
    <xf numFmtId="2" fontId="16" fillId="0" borderId="0" xfId="0" applyNumberFormat="1" applyFont="1"/>
    <xf numFmtId="0" fontId="3" fillId="0" borderId="0" xfId="0" applyFont="1" applyAlignment="1">
      <alignment horizontal="center"/>
    </xf>
    <xf numFmtId="0" fontId="121" fillId="0" borderId="0" xfId="5" applyFont="1" applyAlignment="1">
      <alignment vertical="center"/>
    </xf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left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/>
    </xf>
    <xf numFmtId="4" fontId="72" fillId="0" borderId="8" xfId="0" applyNumberFormat="1" applyFont="1" applyBorder="1" applyAlignment="1">
      <alignment horizontal="right" vertical="center"/>
    </xf>
    <xf numFmtId="165" fontId="72" fillId="0" borderId="8" xfId="0" applyNumberFormat="1" applyFont="1" applyBorder="1" applyAlignment="1">
      <alignment horizontal="right" vertical="center"/>
    </xf>
    <xf numFmtId="0" fontId="56" fillId="0" borderId="8" xfId="0" applyFont="1" applyBorder="1" applyAlignment="1">
      <alignment horizontal="center" vertical="center"/>
    </xf>
    <xf numFmtId="0" fontId="22" fillId="0" borderId="0" xfId="0" applyFont="1" applyFill="1"/>
    <xf numFmtId="4" fontId="27" fillId="0" borderId="0" xfId="0" applyNumberFormat="1" applyFont="1" applyFill="1" applyAlignment="1">
      <alignment vertical="center"/>
    </xf>
    <xf numFmtId="0" fontId="27" fillId="0" borderId="0" xfId="0" applyFont="1" applyAlignment="1">
      <alignment vertical="center"/>
    </xf>
    <xf numFmtId="0" fontId="58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66" fillId="0" borderId="0" xfId="0" applyNumberFormat="1" applyFont="1" applyBorder="1" applyAlignment="1">
      <alignment horizontal="right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53" fillId="14" borderId="3" xfId="0" applyFont="1" applyFill="1" applyBorder="1" applyAlignment="1">
      <alignment wrapText="1"/>
    </xf>
    <xf numFmtId="4" fontId="23" fillId="14" borderId="3" xfId="0" applyNumberFormat="1" applyFont="1" applyFill="1" applyBorder="1" applyAlignment="1">
      <alignment horizontal="right" vertical="center"/>
    </xf>
    <xf numFmtId="4" fontId="55" fillId="14" borderId="3" xfId="0" applyNumberFormat="1" applyFont="1" applyFill="1" applyBorder="1" applyAlignment="1">
      <alignment vertical="center"/>
    </xf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left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165" fontId="72" fillId="0" borderId="0" xfId="0" applyNumberFormat="1" applyFont="1" applyFill="1" applyAlignment="1">
      <alignment vertical="center"/>
    </xf>
    <xf numFmtId="0" fontId="55" fillId="14" borderId="3" xfId="0" applyFont="1" applyFill="1" applyBorder="1" applyAlignment="1">
      <alignment horizontal="left" vertical="center" wrapText="1"/>
    </xf>
    <xf numFmtId="4" fontId="72" fillId="14" borderId="9" xfId="0" applyNumberFormat="1" applyFont="1" applyFill="1" applyBorder="1" applyAlignment="1">
      <alignment horizontal="right" vertical="center" wrapText="1"/>
    </xf>
    <xf numFmtId="164" fontId="55" fillId="14" borderId="3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72" fillId="14" borderId="8" xfId="0" applyNumberFormat="1" applyFont="1" applyFill="1" applyBorder="1" applyAlignment="1">
      <alignment horizontal="right" vertical="center"/>
    </xf>
    <xf numFmtId="165" fontId="72" fillId="14" borderId="8" xfId="0" applyNumberFormat="1" applyFont="1" applyFill="1" applyBorder="1" applyAlignment="1">
      <alignment horizontal="right" vertical="center"/>
    </xf>
    <xf numFmtId="4" fontId="72" fillId="14" borderId="10" xfId="0" applyNumberFormat="1" applyFont="1" applyFill="1" applyBorder="1" applyAlignment="1">
      <alignment horizontal="right" vertical="center"/>
    </xf>
    <xf numFmtId="165" fontId="72" fillId="14" borderId="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169" fontId="55" fillId="0" borderId="9" xfId="0" applyNumberFormat="1" applyFont="1" applyFill="1" applyBorder="1" applyAlignment="1">
      <alignment horizontal="center" vertical="center"/>
    </xf>
    <xf numFmtId="4" fontId="72" fillId="14" borderId="3" xfId="0" applyNumberFormat="1" applyFont="1" applyFill="1" applyBorder="1" applyAlignment="1">
      <alignment horizontal="right" vertical="center"/>
    </xf>
    <xf numFmtId="164" fontId="55" fillId="14" borderId="3" xfId="0" applyNumberFormat="1" applyFont="1" applyFill="1" applyBorder="1" applyAlignment="1">
      <alignment horizontal="right" vertical="center" indent="1"/>
    </xf>
    <xf numFmtId="4" fontId="21" fillId="0" borderId="0" xfId="0" applyNumberFormat="1" applyFont="1" applyFill="1" applyAlignment="1">
      <alignment vertical="center" wrapText="1"/>
    </xf>
    <xf numFmtId="0" fontId="27" fillId="0" borderId="0" xfId="5" applyNumberFormat="1" applyFont="1" applyFill="1" applyAlignment="1">
      <alignment horizontal="right"/>
    </xf>
    <xf numFmtId="164" fontId="32" fillId="0" borderId="0" xfId="5" applyNumberFormat="1" applyFont="1" applyFill="1" applyAlignment="1">
      <alignment vertical="center" wrapText="1"/>
    </xf>
    <xf numFmtId="0" fontId="55" fillId="0" borderId="3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/>
    </xf>
    <xf numFmtId="0" fontId="55" fillId="14" borderId="3" xfId="0" applyFont="1" applyFill="1" applyBorder="1" applyAlignment="1">
      <alignment horizontal="center" vertical="center"/>
    </xf>
    <xf numFmtId="4" fontId="59" fillId="14" borderId="3" xfId="0" applyNumberFormat="1" applyFont="1" applyFill="1" applyBorder="1" applyAlignment="1">
      <alignment horizontal="right" vertical="center"/>
    </xf>
    <xf numFmtId="4" fontId="71" fillId="14" borderId="3" xfId="0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4" fontId="72" fillId="14" borderId="3" xfId="0" applyNumberFormat="1" applyFont="1" applyFill="1" applyBorder="1" applyAlignment="1">
      <alignment horizontal="right" vertical="center" indent="1"/>
    </xf>
    <xf numFmtId="4" fontId="65" fillId="0" borderId="0" xfId="0" applyNumberFormat="1" applyFont="1" applyAlignment="1">
      <alignment vertical="center"/>
    </xf>
    <xf numFmtId="4" fontId="55" fillId="14" borderId="3" xfId="0" applyNumberFormat="1" applyFont="1" applyFill="1" applyBorder="1" applyAlignment="1">
      <alignment horizontal="center" vertical="center" wrapText="1"/>
    </xf>
    <xf numFmtId="4" fontId="55" fillId="14" borderId="3" xfId="0" applyNumberFormat="1" applyFont="1" applyFill="1" applyBorder="1" applyAlignment="1">
      <alignment horizontal="right" vertical="center" wrapText="1" indent="1"/>
    </xf>
    <xf numFmtId="0" fontId="85" fillId="0" borderId="0" xfId="0" applyFont="1" applyFill="1"/>
    <xf numFmtId="0" fontId="85" fillId="0" borderId="0" xfId="0" applyFont="1" applyFill="1" applyAlignment="1">
      <alignment vertical="center"/>
    </xf>
    <xf numFmtId="165" fontId="55" fillId="14" borderId="3" xfId="0" applyNumberFormat="1" applyFont="1" applyFill="1" applyBorder="1" applyAlignment="1">
      <alignment vertical="center"/>
    </xf>
    <xf numFmtId="4" fontId="55" fillId="14" borderId="3" xfId="0" applyNumberFormat="1" applyFont="1" applyFill="1" applyBorder="1" applyAlignment="1">
      <alignment horizontal="right" vertical="center" indent="1"/>
    </xf>
    <xf numFmtId="165" fontId="72" fillId="14" borderId="3" xfId="0" applyNumberFormat="1" applyFont="1" applyFill="1" applyBorder="1" applyAlignment="1">
      <alignment vertical="center"/>
    </xf>
    <xf numFmtId="165" fontId="65" fillId="0" borderId="0" xfId="0" applyNumberFormat="1" applyFont="1" applyFill="1" applyAlignment="1">
      <alignment vertical="center"/>
    </xf>
    <xf numFmtId="49" fontId="85" fillId="0" borderId="0" xfId="0" applyNumberFormat="1" applyFont="1" applyFill="1" applyAlignment="1">
      <alignment vertical="center"/>
    </xf>
    <xf numFmtId="4" fontId="21" fillId="4" borderId="0" xfId="5" applyNumberFormat="1" applyFont="1" applyFill="1" applyBorder="1" applyAlignment="1">
      <alignment horizontal="right" vertical="center"/>
    </xf>
    <xf numFmtId="0" fontId="66" fillId="0" borderId="0" xfId="0" applyFont="1" applyFill="1" applyAlignment="1">
      <alignment horizontal="right" vertical="center"/>
    </xf>
    <xf numFmtId="164" fontId="65" fillId="0" borderId="0" xfId="0" applyNumberFormat="1" applyFont="1" applyAlignment="1">
      <alignment vertical="center"/>
    </xf>
    <xf numFmtId="164" fontId="85" fillId="0" borderId="0" xfId="0" applyNumberFormat="1" applyFont="1" applyFill="1" applyAlignment="1">
      <alignment vertical="center"/>
    </xf>
    <xf numFmtId="4" fontId="21" fillId="4" borderId="0" xfId="5" applyNumberFormat="1" applyFont="1" applyFill="1" applyBorder="1" applyAlignment="1">
      <alignment vertical="center"/>
    </xf>
    <xf numFmtId="0" fontId="21" fillId="4" borderId="3" xfId="0" applyFont="1" applyFill="1" applyBorder="1" applyAlignment="1">
      <alignment horizontal="left" vertical="center" wrapText="1"/>
    </xf>
    <xf numFmtId="4" fontId="21" fillId="15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49" fontId="21" fillId="0" borderId="0" xfId="5" applyNumberFormat="1" applyFont="1" applyFill="1" applyAlignment="1">
      <alignment horizontal="left" vertical="center"/>
    </xf>
    <xf numFmtId="4" fontId="21" fillId="4" borderId="16" xfId="5" applyNumberFormat="1" applyFont="1" applyFill="1" applyBorder="1" applyAlignment="1">
      <alignment vertical="center"/>
    </xf>
    <xf numFmtId="49" fontId="21" fillId="0" borderId="0" xfId="5" applyNumberFormat="1" applyFont="1" applyFill="1" applyAlignment="1">
      <alignment horizontal="left" vertical="center" wrapText="1"/>
    </xf>
    <xf numFmtId="49" fontId="21" fillId="0" borderId="0" xfId="5" applyNumberFormat="1" applyFont="1" applyFill="1" applyAlignment="1">
      <alignment horizontal="left" vertical="center"/>
    </xf>
    <xf numFmtId="0" fontId="57" fillId="0" borderId="17" xfId="0" applyFont="1" applyBorder="1" applyAlignment="1">
      <alignment horizontal="center" vertical="top"/>
    </xf>
    <xf numFmtId="0" fontId="55" fillId="0" borderId="6" xfId="0" applyFont="1" applyBorder="1" applyAlignment="1">
      <alignment horizontal="left"/>
    </xf>
    <xf numFmtId="0" fontId="54" fillId="5" borderId="6" xfId="0" applyFont="1" applyFill="1" applyBorder="1" applyAlignment="1">
      <alignment horizontal="left" vertical="center"/>
    </xf>
    <xf numFmtId="0" fontId="55" fillId="0" borderId="3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left" vertical="center" wrapText="1"/>
    </xf>
    <xf numFmtId="0" fontId="56" fillId="0" borderId="3" xfId="0" applyFont="1" applyBorder="1" applyAlignment="1">
      <alignment horizontal="center" vertical="center"/>
    </xf>
    <xf numFmtId="4" fontId="72" fillId="0" borderId="9" xfId="0" applyNumberFormat="1" applyFont="1" applyBorder="1" applyAlignment="1">
      <alignment horizontal="center" vertical="center"/>
    </xf>
    <xf numFmtId="4" fontId="72" fillId="0" borderId="10" xfId="0" applyNumberFormat="1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71" fillId="0" borderId="3" xfId="0" applyFont="1" applyFill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4" fontId="72" fillId="0" borderId="14" xfId="0" applyNumberFormat="1" applyFont="1" applyBorder="1" applyAlignment="1">
      <alignment horizontal="center" vertical="center"/>
    </xf>
    <xf numFmtId="0" fontId="56" fillId="0" borderId="9" xfId="0" applyFont="1" applyBorder="1" applyAlignment="1">
      <alignment horizontal="center" vertical="center"/>
    </xf>
    <xf numFmtId="0" fontId="56" fillId="0" borderId="14" xfId="0" applyFont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/>
    </xf>
    <xf numFmtId="4" fontId="21" fillId="4" borderId="0" xfId="5" applyNumberFormat="1" applyFont="1" applyFill="1" applyBorder="1" applyAlignment="1">
      <alignment horizontal="center" vertical="center"/>
    </xf>
    <xf numFmtId="2" fontId="85" fillId="0" borderId="0" xfId="0" applyNumberFormat="1" applyFont="1"/>
    <xf numFmtId="0" fontId="122" fillId="0" borderId="0" xfId="0" applyFont="1" applyFill="1" applyAlignment="1"/>
    <xf numFmtId="4" fontId="71" fillId="0" borderId="0" xfId="0" applyNumberFormat="1" applyFont="1" applyFill="1" applyBorder="1" applyAlignment="1">
      <alignment horizontal="right"/>
    </xf>
    <xf numFmtId="165" fontId="73" fillId="0" borderId="0" xfId="0" applyNumberFormat="1" applyFont="1" applyFill="1" applyBorder="1" applyAlignment="1">
      <alignment horizontal="right"/>
    </xf>
    <xf numFmtId="0" fontId="55" fillId="0" borderId="3" xfId="0" applyFont="1" applyBorder="1" applyAlignment="1">
      <alignment horizontal="left" vertical="center" wrapText="1"/>
    </xf>
    <xf numFmtId="0" fontId="21" fillId="0" borderId="0" xfId="5" applyFont="1" applyFill="1" applyAlignment="1">
      <alignment vertical="center"/>
    </xf>
    <xf numFmtId="49" fontId="21" fillId="4" borderId="0" xfId="5" applyNumberFormat="1" applyFont="1" applyFill="1" applyAlignment="1">
      <alignment horizontal="left" vertical="center"/>
    </xf>
    <xf numFmtId="49" fontId="21" fillId="4" borderId="0" xfId="5" applyNumberFormat="1" applyFont="1" applyFill="1" applyBorder="1" applyAlignment="1">
      <alignment horizontal="right" vertical="center"/>
    </xf>
    <xf numFmtId="0" fontId="31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0" fontId="24" fillId="0" borderId="0" xfId="4" applyFont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7" fillId="0" borderId="3" xfId="4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/>
    </xf>
    <xf numFmtId="0" fontId="21" fillId="0" borderId="0" xfId="5" applyFont="1" applyAlignment="1">
      <alignment horizontal="left" vertical="center" wrapText="1"/>
    </xf>
    <xf numFmtId="0" fontId="21" fillId="0" borderId="0" xfId="5" applyFont="1" applyAlignment="1">
      <alignment horizontal="center" vertical="center" wrapText="1"/>
    </xf>
    <xf numFmtId="0" fontId="21" fillId="0" borderId="3" xfId="5" applyFont="1" applyBorder="1" applyAlignment="1">
      <alignment horizontal="center" vertical="center"/>
    </xf>
    <xf numFmtId="0" fontId="21" fillId="0" borderId="3" xfId="5" applyFont="1" applyBorder="1" applyAlignment="1">
      <alignment horizontal="center" vertical="center" textRotation="90" wrapText="1"/>
    </xf>
    <xf numFmtId="0" fontId="21" fillId="0" borderId="3" xfId="5" applyFont="1" applyBorder="1" applyAlignment="1">
      <alignment horizontal="center" vertical="center" textRotation="90"/>
    </xf>
    <xf numFmtId="0" fontId="21" fillId="0" borderId="3" xfId="5" applyFont="1" applyBorder="1" applyAlignment="1">
      <alignment horizontal="center" vertical="center" wrapText="1"/>
    </xf>
    <xf numFmtId="49" fontId="21" fillId="0" borderId="0" xfId="5" applyNumberFormat="1" applyFont="1" applyFill="1" applyAlignment="1">
      <alignment horizontal="left" vertical="center" wrapText="1"/>
    </xf>
    <xf numFmtId="49" fontId="21" fillId="0" borderId="0" xfId="5" applyNumberFormat="1" applyFont="1" applyFill="1" applyAlignment="1">
      <alignment horizontal="left" vertical="center"/>
    </xf>
    <xf numFmtId="4" fontId="36" fillId="0" borderId="0" xfId="0" applyNumberFormat="1" applyFont="1" applyFill="1"/>
    <xf numFmtId="0" fontId="22" fillId="0" borderId="0" xfId="5" applyFont="1" applyAlignment="1">
      <alignment horizontal="right" vertical="center" wrapText="1"/>
    </xf>
    <xf numFmtId="0" fontId="24" fillId="0" borderId="0" xfId="5" applyFont="1" applyAlignment="1">
      <alignment horizontal="center" vertical="center" wrapText="1"/>
    </xf>
    <xf numFmtId="0" fontId="21" fillId="0" borderId="6" xfId="5" applyFont="1" applyBorder="1" applyAlignment="1">
      <alignment horizontal="left"/>
    </xf>
    <xf numFmtId="0" fontId="27" fillId="0" borderId="3" xfId="4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49" fontId="53" fillId="0" borderId="3" xfId="0" applyNumberFormat="1" applyFont="1" applyBorder="1" applyAlignment="1">
      <alignment horizontal="center" vertical="center" wrapText="1"/>
    </xf>
    <xf numFmtId="164" fontId="85" fillId="0" borderId="0" xfId="0" applyNumberFormat="1" applyFont="1" applyFill="1" applyBorder="1" applyAlignment="1">
      <alignment horizontal="center" vertical="center" wrapText="1"/>
    </xf>
    <xf numFmtId="49" fontId="66" fillId="0" borderId="3" xfId="0" applyNumberFormat="1" applyFont="1" applyBorder="1" applyAlignment="1">
      <alignment horizontal="center" vertical="center" wrapText="1"/>
    </xf>
    <xf numFmtId="49" fontId="75" fillId="0" borderId="0" xfId="0" applyNumberFormat="1" applyFont="1" applyBorder="1" applyAlignment="1">
      <alignment horizontal="center" vertical="center" wrapText="1"/>
    </xf>
    <xf numFmtId="49" fontId="53" fillId="0" borderId="9" xfId="0" applyNumberFormat="1" applyFont="1" applyBorder="1" applyAlignment="1">
      <alignment horizontal="center" vertical="center" wrapText="1"/>
    </xf>
    <xf numFmtId="49" fontId="53" fillId="0" borderId="14" xfId="0" applyNumberFormat="1" applyFont="1" applyBorder="1" applyAlignment="1">
      <alignment horizontal="center" vertical="center" wrapText="1"/>
    </xf>
    <xf numFmtId="49" fontId="53" fillId="0" borderId="10" xfId="0" applyNumberFormat="1" applyFont="1" applyBorder="1" applyAlignment="1">
      <alignment horizontal="center" vertical="center" wrapText="1"/>
    </xf>
    <xf numFmtId="0" fontId="61" fillId="0" borderId="0" xfId="4" applyFont="1" applyAlignment="1">
      <alignment horizontal="center" vertical="center" wrapText="1"/>
    </xf>
    <xf numFmtId="4" fontId="53" fillId="0" borderId="8" xfId="0" applyNumberFormat="1" applyFont="1" applyBorder="1" applyAlignment="1">
      <alignment horizontal="right" vertical="center" wrapText="1"/>
    </xf>
    <xf numFmtId="4" fontId="53" fillId="0" borderId="4" xfId="0" applyNumberFormat="1" applyFont="1" applyBorder="1" applyAlignment="1">
      <alignment horizontal="right" vertical="center" wrapText="1"/>
    </xf>
    <xf numFmtId="0" fontId="77" fillId="0" borderId="8" xfId="0" applyFont="1" applyBorder="1" applyAlignment="1">
      <alignment horizontal="center" vertical="center"/>
    </xf>
    <xf numFmtId="0" fontId="77" fillId="0" borderId="4" xfId="0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0" fontId="77" fillId="0" borderId="4" xfId="0" applyFont="1" applyBorder="1" applyAlignment="1">
      <alignment horizontal="center" vertical="center" wrapText="1"/>
    </xf>
    <xf numFmtId="49" fontId="53" fillId="0" borderId="6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wrapText="1"/>
    </xf>
    <xf numFmtId="0" fontId="52" fillId="0" borderId="0" xfId="0" applyFont="1" applyBorder="1" applyAlignment="1">
      <alignment horizontal="left" vertical="center"/>
    </xf>
    <xf numFmtId="49" fontId="52" fillId="0" borderId="0" xfId="0" applyNumberFormat="1" applyFont="1" applyBorder="1" applyAlignment="1">
      <alignment horizontal="left" vertical="center" wrapText="1"/>
    </xf>
    <xf numFmtId="0" fontId="41" fillId="0" borderId="0" xfId="0" applyFont="1" applyAlignment="1">
      <alignment horizontal="left"/>
    </xf>
    <xf numFmtId="0" fontId="77" fillId="0" borderId="3" xfId="0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/>
    </xf>
    <xf numFmtId="0" fontId="77" fillId="0" borderId="9" xfId="0" applyFont="1" applyBorder="1" applyAlignment="1">
      <alignment horizontal="center" vertical="center"/>
    </xf>
    <xf numFmtId="4" fontId="52" fillId="0" borderId="8" xfId="0" applyNumberFormat="1" applyFont="1" applyBorder="1" applyAlignment="1">
      <alignment horizontal="right" vertical="center" wrapText="1"/>
    </xf>
    <xf numFmtId="4" fontId="52" fillId="0" borderId="4" xfId="0" applyNumberFormat="1" applyFont="1" applyBorder="1" applyAlignment="1">
      <alignment horizontal="right" vertical="center" wrapText="1"/>
    </xf>
    <xf numFmtId="0" fontId="52" fillId="0" borderId="3" xfId="0" applyFont="1" applyFill="1" applyBorder="1" applyAlignment="1">
      <alignment horizontal="center" vertical="center" wrapText="1"/>
    </xf>
    <xf numFmtId="165" fontId="53" fillId="0" borderId="3" xfId="0" applyNumberFormat="1" applyFont="1" applyBorder="1" applyAlignment="1">
      <alignment horizontal="center" vertical="center" wrapText="1"/>
    </xf>
    <xf numFmtId="0" fontId="53" fillId="0" borderId="3" xfId="0" applyFont="1" applyBorder="1"/>
    <xf numFmtId="0" fontId="53" fillId="0" borderId="0" xfId="0" applyFont="1" applyAlignment="1">
      <alignment horizontal="center" vertical="center" wrapText="1"/>
    </xf>
    <xf numFmtId="164" fontId="52" fillId="0" borderId="0" xfId="0" applyNumberFormat="1" applyFont="1" applyFill="1" applyBorder="1" applyAlignment="1">
      <alignment horizontal="left" vertical="center"/>
    </xf>
    <xf numFmtId="49" fontId="88" fillId="0" borderId="6" xfId="0" applyNumberFormat="1" applyFont="1" applyBorder="1" applyAlignment="1">
      <alignment horizontal="center" wrapText="1"/>
    </xf>
    <xf numFmtId="0" fontId="77" fillId="0" borderId="3" xfId="0" applyFont="1" applyBorder="1" applyAlignment="1">
      <alignment horizontal="center" vertical="center"/>
    </xf>
    <xf numFmtId="49" fontId="94" fillId="0" borderId="6" xfId="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49" fontId="88" fillId="0" borderId="6" xfId="0" applyNumberFormat="1" applyFont="1" applyFill="1" applyBorder="1" applyAlignment="1">
      <alignment horizontal="center" vertical="center" wrapText="1"/>
    </xf>
    <xf numFmtId="0" fontId="86" fillId="0" borderId="3" xfId="0" applyFont="1" applyBorder="1" applyAlignment="1">
      <alignment horizontal="center"/>
    </xf>
    <xf numFmtId="0" fontId="56" fillId="0" borderId="0" xfId="4" applyFont="1" applyBorder="1" applyAlignment="1">
      <alignment horizontal="center" vertical="center" wrapText="1"/>
    </xf>
    <xf numFmtId="0" fontId="77" fillId="0" borderId="3" xfId="0" applyFont="1" applyBorder="1" applyAlignment="1">
      <alignment horizontal="left" vertical="center" wrapText="1" indent="1"/>
    </xf>
    <xf numFmtId="49" fontId="53" fillId="0" borderId="9" xfId="0" applyNumberFormat="1" applyFont="1" applyBorder="1" applyAlignment="1">
      <alignment horizontal="right" vertical="center" wrapText="1"/>
    </xf>
    <xf numFmtId="49" fontId="53" fillId="0" borderId="14" xfId="0" applyNumberFormat="1" applyFont="1" applyBorder="1" applyAlignment="1">
      <alignment horizontal="right" vertical="center" wrapText="1"/>
    </xf>
    <xf numFmtId="0" fontId="53" fillId="0" borderId="9" xfId="0" applyFont="1" applyBorder="1" applyAlignment="1">
      <alignment vertical="center" wrapText="1"/>
    </xf>
    <xf numFmtId="0" fontId="53" fillId="0" borderId="10" xfId="0" applyFont="1" applyBorder="1" applyAlignment="1">
      <alignment vertical="center" wrapText="1"/>
    </xf>
    <xf numFmtId="49" fontId="52" fillId="0" borderId="0" xfId="0" applyNumberFormat="1" applyFont="1" applyFill="1" applyBorder="1" applyAlignment="1">
      <alignment horizontal="left" vertical="center" wrapText="1"/>
    </xf>
    <xf numFmtId="49" fontId="88" fillId="0" borderId="0" xfId="0" applyNumberFormat="1" applyFont="1" applyBorder="1" applyAlignment="1">
      <alignment horizontal="center" vertical="center" wrapText="1"/>
    </xf>
    <xf numFmtId="0" fontId="89" fillId="0" borderId="6" xfId="0" applyFont="1" applyBorder="1" applyAlignment="1">
      <alignment horizontal="center"/>
    </xf>
    <xf numFmtId="0" fontId="53" fillId="0" borderId="3" xfId="0" applyFont="1" applyBorder="1" applyAlignment="1">
      <alignment horizontal="left" indent="2"/>
    </xf>
    <xf numFmtId="0" fontId="53" fillId="0" borderId="3" xfId="0" applyFont="1" applyBorder="1" applyAlignment="1">
      <alignment horizontal="center"/>
    </xf>
    <xf numFmtId="0" fontId="80" fillId="0" borderId="3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horizontal="center" vertical="center"/>
    </xf>
    <xf numFmtId="0" fontId="53" fillId="0" borderId="14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left"/>
    </xf>
    <xf numFmtId="0" fontId="109" fillId="0" borderId="5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 vertical="center"/>
    </xf>
    <xf numFmtId="0" fontId="74" fillId="0" borderId="9" xfId="0" applyFont="1" applyFill="1" applyBorder="1" applyAlignment="1">
      <alignment horizontal="center" wrapText="1"/>
    </xf>
    <xf numFmtId="0" fontId="74" fillId="0" borderId="10" xfId="0" applyFont="1" applyFill="1" applyBorder="1" applyAlignment="1">
      <alignment horizontal="center" wrapText="1"/>
    </xf>
    <xf numFmtId="0" fontId="53" fillId="0" borderId="9" xfId="0" applyFont="1" applyFill="1" applyBorder="1" applyAlignment="1">
      <alignment horizontal="center"/>
    </xf>
    <xf numFmtId="0" fontId="53" fillId="0" borderId="10" xfId="0" applyFont="1" applyFill="1" applyBorder="1" applyAlignment="1">
      <alignment horizontal="center"/>
    </xf>
    <xf numFmtId="0" fontId="55" fillId="0" borderId="0" xfId="0" applyFont="1" applyFill="1" applyBorder="1" applyAlignment="1">
      <alignment horizontal="left"/>
    </xf>
    <xf numFmtId="0" fontId="55" fillId="0" borderId="5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108" fillId="0" borderId="0" xfId="0" applyFont="1" applyFill="1" applyBorder="1" applyAlignment="1">
      <alignment horizontal="center" wrapText="1"/>
    </xf>
    <xf numFmtId="0" fontId="53" fillId="0" borderId="6" xfId="0" applyFont="1" applyFill="1" applyBorder="1" applyAlignment="1">
      <alignment horizontal="center"/>
    </xf>
    <xf numFmtId="0" fontId="51" fillId="0" borderId="0" xfId="0" applyFont="1" applyAlignment="1">
      <alignment horizontal="left" vertical="center" wrapText="1"/>
    </xf>
    <xf numFmtId="0" fontId="61" fillId="0" borderId="0" xfId="0" applyFont="1" applyAlignment="1">
      <alignment horizontal="center" vertical="center"/>
    </xf>
    <xf numFmtId="0" fontId="62" fillId="0" borderId="0" xfId="0" applyFont="1" applyAlignment="1">
      <alignment horizontal="center"/>
    </xf>
    <xf numFmtId="0" fontId="54" fillId="5" borderId="0" xfId="0" applyFont="1" applyFill="1" applyBorder="1" applyAlignment="1">
      <alignment horizontal="left" vertical="center"/>
    </xf>
    <xf numFmtId="0" fontId="71" fillId="0" borderId="9" xfId="0" applyFont="1" applyFill="1" applyBorder="1" applyAlignment="1">
      <alignment horizontal="center" vertical="center"/>
    </xf>
    <xf numFmtId="0" fontId="71" fillId="0" borderId="14" xfId="0" applyFont="1" applyFill="1" applyBorder="1" applyAlignment="1">
      <alignment horizontal="center" vertical="center"/>
    </xf>
    <xf numFmtId="0" fontId="57" fillId="0" borderId="17" xfId="0" applyFont="1" applyBorder="1" applyAlignment="1">
      <alignment horizontal="center" vertical="top"/>
    </xf>
    <xf numFmtId="0" fontId="57" fillId="0" borderId="0" xfId="0" applyFont="1" applyAlignment="1">
      <alignment horizontal="center" vertical="top"/>
    </xf>
    <xf numFmtId="0" fontId="55" fillId="0" borderId="6" xfId="0" applyFont="1" applyBorder="1" applyAlignment="1">
      <alignment horizontal="left"/>
    </xf>
    <xf numFmtId="0" fontId="55" fillId="0" borderId="6" xfId="0" applyFont="1" applyBorder="1" applyAlignment="1">
      <alignment horizontal="center"/>
    </xf>
    <xf numFmtId="4" fontId="7" fillId="0" borderId="27" xfId="0" applyNumberFormat="1" applyFont="1" applyBorder="1" applyAlignment="1">
      <alignment horizontal="center" vertical="center"/>
    </xf>
    <xf numFmtId="4" fontId="18" fillId="0" borderId="15" xfId="0" applyNumberFormat="1" applyFont="1" applyBorder="1" applyAlignment="1">
      <alignment horizontal="center" vertical="center"/>
    </xf>
    <xf numFmtId="0" fontId="41" fillId="0" borderId="17" xfId="0" applyFont="1" applyBorder="1" applyAlignment="1">
      <alignment horizontal="center"/>
    </xf>
    <xf numFmtId="0" fontId="54" fillId="5" borderId="6" xfId="0" applyFont="1" applyFill="1" applyBorder="1" applyAlignment="1">
      <alignment horizontal="left" vertical="center"/>
    </xf>
    <xf numFmtId="0" fontId="71" fillId="0" borderId="3" xfId="0" applyFont="1" applyBorder="1" applyAlignment="1">
      <alignment horizontal="center" vertical="center"/>
    </xf>
    <xf numFmtId="0" fontId="71" fillId="0" borderId="9" xfId="0" applyFont="1" applyFill="1" applyBorder="1" applyAlignment="1">
      <alignment horizontal="center"/>
    </xf>
    <xf numFmtId="0" fontId="71" fillId="0" borderId="14" xfId="0" applyFont="1" applyFill="1" applyBorder="1" applyAlignment="1">
      <alignment horizontal="center"/>
    </xf>
    <xf numFmtId="0" fontId="55" fillId="0" borderId="3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/>
    </xf>
    <xf numFmtId="3" fontId="58" fillId="0" borderId="9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0" fontId="56" fillId="0" borderId="9" xfId="0" applyFont="1" applyBorder="1" applyAlignment="1">
      <alignment horizontal="center"/>
    </xf>
    <xf numFmtId="0" fontId="56" fillId="0" borderId="10" xfId="0" applyFont="1" applyBorder="1" applyAlignment="1">
      <alignment horizontal="center"/>
    </xf>
    <xf numFmtId="0" fontId="55" fillId="0" borderId="3" xfId="0" applyFont="1" applyBorder="1" applyAlignment="1">
      <alignment horizontal="left" vertical="center" wrapText="1"/>
    </xf>
    <xf numFmtId="4" fontId="55" fillId="0" borderId="9" xfId="0" applyNumberFormat="1" applyFont="1" applyBorder="1" applyAlignment="1">
      <alignment horizontal="center" vertical="center" wrapText="1"/>
    </xf>
    <xf numFmtId="4" fontId="55" fillId="0" borderId="10" xfId="0" applyNumberFormat="1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/>
    </xf>
    <xf numFmtId="0" fontId="71" fillId="0" borderId="10" xfId="0" applyFont="1" applyFill="1" applyBorder="1" applyAlignment="1">
      <alignment horizontal="center"/>
    </xf>
    <xf numFmtId="0" fontId="56" fillId="0" borderId="3" xfId="0" applyFont="1" applyBorder="1" applyAlignment="1">
      <alignment horizontal="center" vertical="center"/>
    </xf>
    <xf numFmtId="4" fontId="72" fillId="0" borderId="9" xfId="0" applyNumberFormat="1" applyFont="1" applyBorder="1" applyAlignment="1">
      <alignment horizontal="center" vertical="center"/>
    </xf>
    <xf numFmtId="4" fontId="72" fillId="0" borderId="10" xfId="0" applyNumberFormat="1" applyFont="1" applyBorder="1" applyAlignment="1">
      <alignment horizontal="center" vertical="center"/>
    </xf>
    <xf numFmtId="4" fontId="58" fillId="0" borderId="9" xfId="0" applyNumberFormat="1" applyFont="1" applyBorder="1" applyAlignment="1">
      <alignment horizontal="center" vertical="center"/>
    </xf>
    <xf numFmtId="4" fontId="58" fillId="0" borderId="10" xfId="0" applyNumberFormat="1" applyFont="1" applyBorder="1" applyAlignment="1">
      <alignment horizontal="center" vertical="center"/>
    </xf>
    <xf numFmtId="3" fontId="72" fillId="0" borderId="3" xfId="0" applyNumberFormat="1" applyFont="1" applyBorder="1" applyAlignment="1">
      <alignment horizontal="center" vertical="center"/>
    </xf>
    <xf numFmtId="0" fontId="54" fillId="5" borderId="6" xfId="0" applyFont="1" applyFill="1" applyBorder="1" applyAlignment="1">
      <alignment horizontal="left"/>
    </xf>
    <xf numFmtId="0" fontId="71" fillId="0" borderId="3" xfId="0" applyFont="1" applyFill="1" applyBorder="1" applyAlignment="1">
      <alignment horizontal="center"/>
    </xf>
    <xf numFmtId="0" fontId="53" fillId="0" borderId="9" xfId="0" applyFont="1" applyBorder="1" applyAlignment="1">
      <alignment horizontal="left" vertical="center" wrapText="1"/>
    </xf>
    <xf numFmtId="0" fontId="53" fillId="0" borderId="10" xfId="0" applyFont="1" applyBorder="1" applyAlignment="1">
      <alignment horizontal="left" vertical="center" wrapText="1"/>
    </xf>
    <xf numFmtId="0" fontId="58" fillId="12" borderId="6" xfId="0" applyFont="1" applyFill="1" applyBorder="1" applyAlignment="1">
      <alignment horizontal="center"/>
    </xf>
    <xf numFmtId="0" fontId="58" fillId="0" borderId="8" xfId="0" applyFont="1" applyBorder="1" applyAlignment="1">
      <alignment horizontal="center"/>
    </xf>
    <xf numFmtId="0" fontId="58" fillId="0" borderId="4" xfId="0" applyFont="1" applyBorder="1" applyAlignment="1">
      <alignment horizontal="center"/>
    </xf>
    <xf numFmtId="0" fontId="6" fillId="12" borderId="3" xfId="0" applyFont="1" applyFill="1" applyBorder="1" applyAlignment="1">
      <alignment horizontal="left"/>
    </xf>
    <xf numFmtId="0" fontId="73" fillId="0" borderId="9" xfId="0" applyFont="1" applyBorder="1" applyAlignment="1">
      <alignment horizontal="center"/>
    </xf>
    <xf numFmtId="0" fontId="73" fillId="0" borderId="14" xfId="0" applyFont="1" applyBorder="1" applyAlignment="1">
      <alignment horizontal="center"/>
    </xf>
    <xf numFmtId="0" fontId="73" fillId="0" borderId="10" xfId="0" applyFont="1" applyBorder="1" applyAlignment="1">
      <alignment horizontal="center"/>
    </xf>
    <xf numFmtId="0" fontId="55" fillId="0" borderId="3" xfId="0" applyFont="1" applyBorder="1" applyAlignment="1">
      <alignment horizontal="center" vertical="center"/>
    </xf>
    <xf numFmtId="164" fontId="55" fillId="0" borderId="8" xfId="0" applyNumberFormat="1" applyFont="1" applyFill="1" applyBorder="1" applyAlignment="1">
      <alignment horizontal="right" vertical="center" indent="1"/>
    </xf>
    <xf numFmtId="164" fontId="55" fillId="0" borderId="4" xfId="0" applyNumberFormat="1" applyFont="1" applyFill="1" applyBorder="1" applyAlignment="1">
      <alignment horizontal="right" vertical="center" indent="1"/>
    </xf>
    <xf numFmtId="0" fontId="61" fillId="0" borderId="0" xfId="0" applyFont="1" applyAlignment="1">
      <alignment horizontal="center"/>
    </xf>
    <xf numFmtId="164" fontId="55" fillId="10" borderId="8" xfId="0" applyNumberFormat="1" applyFont="1" applyFill="1" applyBorder="1" applyAlignment="1">
      <alignment horizontal="right" vertical="center" indent="1"/>
    </xf>
    <xf numFmtId="164" fontId="55" fillId="10" borderId="4" xfId="0" applyNumberFormat="1" applyFont="1" applyFill="1" applyBorder="1" applyAlignment="1">
      <alignment horizontal="right" vertical="center" indent="1"/>
    </xf>
    <xf numFmtId="0" fontId="56" fillId="10" borderId="8" xfId="0" applyFont="1" applyFill="1" applyBorder="1" applyAlignment="1">
      <alignment horizontal="center" vertical="center"/>
    </xf>
    <xf numFmtId="0" fontId="56" fillId="10" borderId="4" xfId="0" applyFont="1" applyFill="1" applyBorder="1" applyAlignment="1">
      <alignment horizontal="center" vertical="center"/>
    </xf>
    <xf numFmtId="0" fontId="55" fillId="10" borderId="27" xfId="0" applyFont="1" applyFill="1" applyBorder="1" applyAlignment="1">
      <alignment horizontal="left" vertical="center" wrapText="1"/>
    </xf>
    <xf numFmtId="0" fontId="55" fillId="10" borderId="15" xfId="0" applyFont="1" applyFill="1" applyBorder="1" applyAlignment="1">
      <alignment horizontal="left" vertical="center" wrapText="1"/>
    </xf>
    <xf numFmtId="0" fontId="55" fillId="10" borderId="8" xfId="0" applyFont="1" applyFill="1" applyBorder="1" applyAlignment="1">
      <alignment horizontal="center" vertical="center"/>
    </xf>
    <xf numFmtId="0" fontId="55" fillId="10" borderId="4" xfId="0" applyFont="1" applyFill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71" fillId="0" borderId="3" xfId="0" applyFont="1" applyBorder="1" applyAlignment="1">
      <alignment horizontal="center"/>
    </xf>
    <xf numFmtId="0" fontId="55" fillId="6" borderId="10" xfId="0" applyFont="1" applyFill="1" applyBorder="1" applyAlignment="1">
      <alignment horizontal="left"/>
    </xf>
    <xf numFmtId="0" fontId="55" fillId="6" borderId="3" xfId="0" applyFont="1" applyFill="1" applyBorder="1" applyAlignment="1">
      <alignment horizontal="left"/>
    </xf>
    <xf numFmtId="0" fontId="54" fillId="5" borderId="0" xfId="0" applyFont="1" applyFill="1" applyBorder="1" applyAlignment="1">
      <alignment horizontal="left" vertical="center" wrapText="1"/>
    </xf>
    <xf numFmtId="0" fontId="41" fillId="0" borderId="3" xfId="0" applyFont="1" applyBorder="1" applyAlignment="1">
      <alignment horizontal="right" vertical="center"/>
    </xf>
    <xf numFmtId="0" fontId="53" fillId="6" borderId="10" xfId="0" applyFont="1" applyFill="1" applyBorder="1" applyAlignment="1">
      <alignment horizontal="center" vertical="center" wrapText="1"/>
    </xf>
    <xf numFmtId="0" fontId="53" fillId="6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55" fillId="6" borderId="29" xfId="0" applyFont="1" applyFill="1" applyBorder="1" applyAlignment="1">
      <alignment horizontal="left"/>
    </xf>
    <xf numFmtId="0" fontId="74" fillId="0" borderId="3" xfId="0" applyFont="1" applyBorder="1" applyAlignment="1">
      <alignment horizontal="right" vertical="center"/>
    </xf>
    <xf numFmtId="0" fontId="61" fillId="0" borderId="18" xfId="0" applyFont="1" applyBorder="1" applyAlignment="1">
      <alignment horizontal="center"/>
    </xf>
    <xf numFmtId="0" fontId="90" fillId="0" borderId="19" xfId="0" applyFont="1" applyBorder="1" applyAlignment="1">
      <alignment horizontal="center"/>
    </xf>
    <xf numFmtId="0" fontId="61" fillId="0" borderId="18" xfId="0" applyFont="1" applyBorder="1" applyAlignment="1">
      <alignment horizontal="center" vertical="center"/>
    </xf>
    <xf numFmtId="0" fontId="61" fillId="0" borderId="19" xfId="0" applyFont="1" applyBorder="1" applyAlignment="1">
      <alignment horizontal="center" vertical="center"/>
    </xf>
    <xf numFmtId="0" fontId="71" fillId="0" borderId="9" xfId="0" applyFont="1" applyBorder="1" applyAlignment="1">
      <alignment horizontal="center" vertical="center"/>
    </xf>
    <xf numFmtId="0" fontId="71" fillId="0" borderId="14" xfId="0" applyFont="1" applyBorder="1" applyAlignment="1">
      <alignment horizontal="center" vertical="center"/>
    </xf>
    <xf numFmtId="0" fontId="71" fillId="0" borderId="9" xfId="0" applyFont="1" applyBorder="1" applyAlignment="1">
      <alignment horizontal="center"/>
    </xf>
    <xf numFmtId="0" fontId="71" fillId="0" borderId="14" xfId="0" applyFont="1" applyBorder="1" applyAlignment="1">
      <alignment horizontal="center"/>
    </xf>
    <xf numFmtId="0" fontId="71" fillId="0" borderId="10" xfId="0" applyFont="1" applyBorder="1" applyAlignment="1">
      <alignment horizontal="center"/>
    </xf>
    <xf numFmtId="0" fontId="54" fillId="5" borderId="0" xfId="0" applyFont="1" applyFill="1" applyBorder="1" applyAlignment="1">
      <alignment horizontal="left"/>
    </xf>
    <xf numFmtId="0" fontId="71" fillId="0" borderId="3" xfId="0" applyFont="1" applyFill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3" xfId="0" applyFont="1" applyFill="1" applyBorder="1" applyAlignment="1">
      <alignment horizontal="center"/>
    </xf>
    <xf numFmtId="0" fontId="55" fillId="0" borderId="9" xfId="0" applyFont="1" applyFill="1" applyBorder="1" applyAlignment="1">
      <alignment horizontal="left" vertical="center" wrapText="1"/>
    </xf>
    <xf numFmtId="0" fontId="55" fillId="0" borderId="14" xfId="0" applyFont="1" applyFill="1" applyBorder="1" applyAlignment="1">
      <alignment horizontal="left" vertical="center" wrapText="1"/>
    </xf>
    <xf numFmtId="0" fontId="55" fillId="0" borderId="10" xfId="0" applyFont="1" applyFill="1" applyBorder="1" applyAlignment="1">
      <alignment horizontal="left" vertical="center" wrapText="1"/>
    </xf>
    <xf numFmtId="0" fontId="56" fillId="0" borderId="9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55" fillId="0" borderId="9" xfId="0" applyFont="1" applyBorder="1" applyAlignment="1">
      <alignment horizontal="left" vertical="center" wrapText="1"/>
    </xf>
    <xf numFmtId="0" fontId="55" fillId="0" borderId="14" xfId="0" applyFont="1" applyBorder="1" applyAlignment="1">
      <alignment horizontal="left" vertical="center" wrapText="1"/>
    </xf>
    <xf numFmtId="0" fontId="55" fillId="0" borderId="10" xfId="0" applyFont="1" applyBorder="1" applyAlignment="1">
      <alignment horizontal="left" vertical="center" wrapText="1"/>
    </xf>
    <xf numFmtId="0" fontId="55" fillId="0" borderId="9" xfId="0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4" fillId="5" borderId="6" xfId="0" applyFont="1" applyFill="1" applyBorder="1" applyAlignment="1">
      <alignment horizontal="left" vertical="center" wrapText="1"/>
    </xf>
    <xf numFmtId="0" fontId="52" fillId="0" borderId="3" xfId="0" applyFont="1" applyBorder="1" applyAlignment="1">
      <alignment horizontal="center" vertical="center"/>
    </xf>
    <xf numFmtId="0" fontId="52" fillId="0" borderId="9" xfId="0" applyFont="1" applyFill="1" applyBorder="1" applyAlignment="1">
      <alignment horizontal="center"/>
    </xf>
    <xf numFmtId="0" fontId="52" fillId="0" borderId="14" xfId="0" applyFont="1" applyFill="1" applyBorder="1" applyAlignment="1">
      <alignment horizontal="center"/>
    </xf>
    <xf numFmtId="0" fontId="52" fillId="0" borderId="10" xfId="0" applyFont="1" applyFill="1" applyBorder="1" applyAlignment="1">
      <alignment horizontal="center"/>
    </xf>
    <xf numFmtId="0" fontId="53" fillId="0" borderId="9" xfId="0" applyFont="1" applyBorder="1" applyAlignment="1">
      <alignment horizontal="center" vertical="center"/>
    </xf>
    <xf numFmtId="0" fontId="53" fillId="0" borderId="14" xfId="0" applyFont="1" applyBorder="1" applyAlignment="1">
      <alignment horizontal="center" vertical="center"/>
    </xf>
    <xf numFmtId="0" fontId="58" fillId="0" borderId="3" xfId="0" applyFont="1" applyBorder="1" applyAlignment="1">
      <alignment horizontal="center"/>
    </xf>
    <xf numFmtId="0" fontId="58" fillId="0" borderId="9" xfId="0" applyFont="1" applyBorder="1" applyAlignment="1">
      <alignment horizontal="center"/>
    </xf>
    <xf numFmtId="0" fontId="53" fillId="0" borderId="3" xfId="0" applyFont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/>
    </xf>
    <xf numFmtId="0" fontId="71" fillId="0" borderId="10" xfId="0" applyFont="1" applyFill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/>
    </xf>
    <xf numFmtId="4" fontId="72" fillId="0" borderId="3" xfId="0" applyNumberFormat="1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54" fillId="5" borderId="6" xfId="0" applyFont="1" applyFill="1" applyBorder="1" applyAlignment="1">
      <alignment vertical="center"/>
    </xf>
    <xf numFmtId="0" fontId="45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/>
    </xf>
    <xf numFmtId="0" fontId="44" fillId="0" borderId="5" xfId="0" applyFont="1" applyFill="1" applyBorder="1" applyAlignment="1">
      <alignment horizontal="left"/>
    </xf>
    <xf numFmtId="0" fontId="21" fillId="0" borderId="3" xfId="0" applyFont="1" applyBorder="1" applyAlignment="1">
      <alignment horizontal="left" indent="2"/>
    </xf>
    <xf numFmtId="0" fontId="21" fillId="0" borderId="3" xfId="0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0" fontId="28" fillId="0" borderId="0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wrapText="1"/>
    </xf>
    <xf numFmtId="0" fontId="21" fillId="0" borderId="9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7" fillId="0" borderId="5" xfId="0" applyFont="1" applyFill="1" applyBorder="1" applyAlignment="1">
      <alignment horizontal="left"/>
    </xf>
    <xf numFmtId="0" fontId="4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wrapText="1"/>
    </xf>
    <xf numFmtId="0" fontId="21" fillId="0" borderId="6" xfId="0" applyFont="1" applyFill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center"/>
    </xf>
    <xf numFmtId="4" fontId="72" fillId="0" borderId="14" xfId="0" applyNumberFormat="1" applyFont="1" applyBorder="1" applyAlignment="1">
      <alignment horizontal="center" vertical="center"/>
    </xf>
    <xf numFmtId="0" fontId="56" fillId="0" borderId="9" xfId="0" applyFont="1" applyBorder="1" applyAlignment="1">
      <alignment horizontal="center" vertical="center"/>
    </xf>
    <xf numFmtId="0" fontId="56" fillId="0" borderId="14" xfId="0" applyFont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4" fontId="72" fillId="0" borderId="8" xfId="0" applyNumberFormat="1" applyFont="1" applyBorder="1" applyAlignment="1">
      <alignment horizontal="right" vertical="center"/>
    </xf>
    <xf numFmtId="4" fontId="72" fillId="0" borderId="4" xfId="0" applyNumberFormat="1" applyFont="1" applyBorder="1" applyAlignment="1">
      <alignment horizontal="right" vertical="center"/>
    </xf>
    <xf numFmtId="165" fontId="72" fillId="0" borderId="8" xfId="0" applyNumberFormat="1" applyFont="1" applyBorder="1" applyAlignment="1">
      <alignment horizontal="right" vertical="center"/>
    </xf>
    <xf numFmtId="165" fontId="72" fillId="0" borderId="4" xfId="0" applyNumberFormat="1" applyFont="1" applyBorder="1" applyAlignment="1">
      <alignment horizontal="right" vertical="center"/>
    </xf>
    <xf numFmtId="0" fontId="56" fillId="0" borderId="8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55" fillId="0" borderId="27" xfId="0" applyFont="1" applyBorder="1" applyAlignment="1">
      <alignment horizontal="left" vertical="center" wrapText="1"/>
    </xf>
    <xf numFmtId="0" fontId="55" fillId="0" borderId="15" xfId="0" applyFont="1" applyBorder="1" applyAlignment="1">
      <alignment horizontal="left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49" fontId="55" fillId="0" borderId="8" xfId="0" applyNumberFormat="1" applyFont="1" applyBorder="1" applyAlignment="1">
      <alignment horizontal="center" vertical="center"/>
    </xf>
    <xf numFmtId="49" fontId="55" fillId="0" borderId="4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/>
    </xf>
    <xf numFmtId="0" fontId="56" fillId="0" borderId="6" xfId="0" applyFont="1" applyBorder="1" applyAlignment="1">
      <alignment horizontal="left"/>
    </xf>
    <xf numFmtId="0" fontId="54" fillId="5" borderId="0" xfId="0" applyFont="1" applyFill="1" applyAlignment="1">
      <alignment horizontal="left" wrapText="1"/>
    </xf>
  </cellXfs>
  <cellStyles count="7">
    <cellStyle name="Заголовок 2" xfId="1" builtinId="17"/>
    <cellStyle name="Заголовок 3" xfId="2" builtinId="18"/>
    <cellStyle name="Заголовок 4" xfId="3" builtinId="19"/>
    <cellStyle name="Итог" xfId="6" builtinId="25"/>
    <cellStyle name="Обычный" xfId="0" builtinId="0"/>
    <cellStyle name="Обычный 2 2" xfId="5"/>
    <cellStyle name="Обычный_Приложение 1, 2,3,4,5,6,7,8,9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РасчетДоходов!$C$208:$C$213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РасчетДоходов!$D$208:$D$213</c:f>
              <c:numCache>
                <c:formatCode>#,##0.0</c:formatCode>
                <c:ptCount val="6"/>
                <c:pt idx="0">
                  <c:v>2.8</c:v>
                </c:pt>
                <c:pt idx="1">
                  <c:v>9.4</c:v>
                </c:pt>
                <c:pt idx="2">
                  <c:v>1.3</c:v>
                </c:pt>
                <c:pt idx="3">
                  <c:v>1.5</c:v>
                </c:pt>
                <c:pt idx="4">
                  <c:v>1.3</c:v>
                </c:pt>
                <c:pt idx="5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EAE-447C-98E1-9DEC9E2A9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48544"/>
        <c:axId val="99150080"/>
      </c:lineChart>
      <c:catAx>
        <c:axId val="9914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150080"/>
        <c:crosses val="autoZero"/>
        <c:auto val="1"/>
        <c:lblAlgn val="ctr"/>
        <c:lblOffset val="100"/>
        <c:noMultiLvlLbl val="0"/>
      </c:catAx>
      <c:valAx>
        <c:axId val="991500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1485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89289944951571"/>
          <c:y val="4.4995013921132199E-2"/>
          <c:w val="0.8575082804914872"/>
          <c:h val="0.82337027020558595"/>
        </c:manualLayout>
      </c:layout>
      <c:lineChart>
        <c:grouping val="standard"/>
        <c:varyColors val="0"/>
        <c:ser>
          <c:idx val="0"/>
          <c:order val="0"/>
          <c:cat>
            <c:numRef>
              <c:f>РасчетДоходов!$C$20:$C$29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РасчетДоходов!$D$20:$D$29</c:f>
              <c:numCache>
                <c:formatCode>#,##0.0</c:formatCode>
                <c:ptCount val="10"/>
                <c:pt idx="0">
                  <c:v>1317.9</c:v>
                </c:pt>
                <c:pt idx="1">
                  <c:v>1691.8</c:v>
                </c:pt>
                <c:pt idx="2">
                  <c:v>1718.1</c:v>
                </c:pt>
                <c:pt idx="3">
                  <c:v>2814.4</c:v>
                </c:pt>
                <c:pt idx="4">
                  <c:v>1628.6</c:v>
                </c:pt>
                <c:pt idx="5">
                  <c:v>1409.7</c:v>
                </c:pt>
                <c:pt idx="6">
                  <c:v>1600.3</c:v>
                </c:pt>
                <c:pt idx="7">
                  <c:v>1439.2</c:v>
                </c:pt>
                <c:pt idx="8">
                  <c:v>1364.8</c:v>
                </c:pt>
                <c:pt idx="9">
                  <c:v>1445.3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ACB-41EE-A2CB-862BAE7A5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80512"/>
        <c:axId val="96882048"/>
      </c:lineChart>
      <c:catAx>
        <c:axId val="9688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6882048"/>
        <c:crosses val="autoZero"/>
        <c:auto val="1"/>
        <c:lblAlgn val="ctr"/>
        <c:lblOffset val="100"/>
        <c:noMultiLvlLbl val="0"/>
      </c:catAx>
      <c:valAx>
        <c:axId val="96882048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68805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155074365704289E-2"/>
          <c:y val="5.0074447013825865E-2"/>
          <c:w val="0.89328937007874021"/>
          <c:h val="0.81762301706421592"/>
        </c:manualLayout>
      </c:layout>
      <c:lineChart>
        <c:grouping val="standard"/>
        <c:varyColors val="0"/>
        <c:ser>
          <c:idx val="0"/>
          <c:order val="0"/>
          <c:cat>
            <c:numRef>
              <c:f>РасчетДоходов!$C$113:$C$121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РасчетДоходов!$D$113:$D$121</c:f>
              <c:numCache>
                <c:formatCode>#,##0.0</c:formatCode>
                <c:ptCount val="9"/>
                <c:pt idx="0">
                  <c:v>25.1</c:v>
                </c:pt>
                <c:pt idx="1">
                  <c:v>24.6</c:v>
                </c:pt>
                <c:pt idx="2">
                  <c:v>21.3</c:v>
                </c:pt>
                <c:pt idx="3">
                  <c:v>27</c:v>
                </c:pt>
                <c:pt idx="4">
                  <c:v>27.3</c:v>
                </c:pt>
                <c:pt idx="5">
                  <c:v>23.3</c:v>
                </c:pt>
                <c:pt idx="6">
                  <c:v>21.4</c:v>
                </c:pt>
                <c:pt idx="7">
                  <c:v>14.1</c:v>
                </c:pt>
                <c:pt idx="8">
                  <c:v>19.600000000000001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EC-4FFE-970D-C1B10785B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910336"/>
        <c:axId val="96920320"/>
      </c:lineChart>
      <c:catAx>
        <c:axId val="9691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6920320"/>
        <c:crosses val="autoZero"/>
        <c:auto val="1"/>
        <c:lblAlgn val="ctr"/>
        <c:lblOffset val="100"/>
        <c:noMultiLvlLbl val="0"/>
      </c:catAx>
      <c:valAx>
        <c:axId val="9692032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69103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155074365704289E-2"/>
          <c:y val="5.0074447013825886E-2"/>
          <c:w val="0.89328937007874021"/>
          <c:h val="0.81762301706421614"/>
        </c:manualLayout>
      </c:layout>
      <c:lineChart>
        <c:grouping val="standard"/>
        <c:varyColors val="0"/>
        <c:ser>
          <c:idx val="0"/>
          <c:order val="0"/>
          <c:cat>
            <c:numRef>
              <c:f>РасчетДоходов!$F$166:$F$174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РасчетДоходов!$G$166:$G$174</c:f>
              <c:numCache>
                <c:formatCode>0.0</c:formatCode>
                <c:ptCount val="9"/>
                <c:pt idx="0">
                  <c:v>461.3</c:v>
                </c:pt>
                <c:pt idx="1">
                  <c:v>602.20000000000005</c:v>
                </c:pt>
                <c:pt idx="2">
                  <c:v>553.9</c:v>
                </c:pt>
                <c:pt idx="3">
                  <c:v>435.4</c:v>
                </c:pt>
                <c:pt idx="4">
                  <c:v>560.29999999999995</c:v>
                </c:pt>
                <c:pt idx="5">
                  <c:v>643.5</c:v>
                </c:pt>
                <c:pt idx="6">
                  <c:v>580.20000000000005</c:v>
                </c:pt>
                <c:pt idx="7">
                  <c:v>346.9</c:v>
                </c:pt>
                <c:pt idx="8">
                  <c:v>523.6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3EE-4329-B36C-114AC0E23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58752"/>
        <c:axId val="99260288"/>
      </c:lineChart>
      <c:catAx>
        <c:axId val="992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260288"/>
        <c:crosses val="autoZero"/>
        <c:auto val="1"/>
        <c:lblAlgn val="ctr"/>
        <c:lblOffset val="100"/>
        <c:noMultiLvlLbl val="0"/>
      </c:catAx>
      <c:valAx>
        <c:axId val="992602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2587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155074365704289E-2"/>
          <c:y val="5.0074447013825893E-2"/>
          <c:w val="0.89328937007874021"/>
          <c:h val="0.81762301706421636"/>
        </c:manualLayout>
      </c:layout>
      <c:lineChart>
        <c:grouping val="standard"/>
        <c:varyColors val="0"/>
        <c:ser>
          <c:idx val="0"/>
          <c:order val="0"/>
          <c:cat>
            <c:numRef>
              <c:f>РасчетДоходов!$C$147:$C$155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РасчетДоходов!$D$147:$D$155</c:f>
              <c:numCache>
                <c:formatCode>0.0</c:formatCode>
                <c:ptCount val="9"/>
                <c:pt idx="0">
                  <c:v>84.9</c:v>
                </c:pt>
                <c:pt idx="1">
                  <c:v>131.69999999999999</c:v>
                </c:pt>
                <c:pt idx="2">
                  <c:v>228.4</c:v>
                </c:pt>
                <c:pt idx="3">
                  <c:v>531.70000000000005</c:v>
                </c:pt>
                <c:pt idx="4">
                  <c:v>399.5</c:v>
                </c:pt>
                <c:pt idx="5">
                  <c:v>640.70000000000005</c:v>
                </c:pt>
                <c:pt idx="6">
                  <c:v>1070.2</c:v>
                </c:pt>
                <c:pt idx="7">
                  <c:v>1184.4000000000001</c:v>
                </c:pt>
                <c:pt idx="8">
                  <c:v>1260.8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286-4ABD-B6C6-9CF2B731B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80384"/>
        <c:axId val="99281920"/>
      </c:lineChart>
      <c:catAx>
        <c:axId val="9928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281920"/>
        <c:crosses val="autoZero"/>
        <c:auto val="1"/>
        <c:lblAlgn val="ctr"/>
        <c:lblOffset val="100"/>
        <c:noMultiLvlLbl val="0"/>
      </c:catAx>
      <c:valAx>
        <c:axId val="992819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2803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</xdr:colOff>
      <xdr:row>206</xdr:row>
      <xdr:rowOff>76200</xdr:rowOff>
    </xdr:from>
    <xdr:to>
      <xdr:col>11</xdr:col>
      <xdr:colOff>144780</xdr:colOff>
      <xdr:row>220</xdr:row>
      <xdr:rowOff>45720</xdr:rowOff>
    </xdr:to>
    <xdr:graphicFrame macro="">
      <xdr:nvGraphicFramePr>
        <xdr:cNvPr id="2" name="Диаграмма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</xdr:colOff>
      <xdr:row>18</xdr:row>
      <xdr:rowOff>68581</xdr:rowOff>
    </xdr:from>
    <xdr:to>
      <xdr:col>11</xdr:col>
      <xdr:colOff>441960</xdr:colOff>
      <xdr:row>34</xdr:row>
      <xdr:rowOff>45720</xdr:rowOff>
    </xdr:to>
    <xdr:graphicFrame macro="">
      <xdr:nvGraphicFramePr>
        <xdr:cNvPr id="3" name="Диаграмма 6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60960</xdr:colOff>
      <xdr:row>110</xdr:row>
      <xdr:rowOff>64769</xdr:rowOff>
    </xdr:from>
    <xdr:to>
      <xdr:col>11</xdr:col>
      <xdr:colOff>190500</xdr:colOff>
      <xdr:row>122</xdr:row>
      <xdr:rowOff>169544</xdr:rowOff>
    </xdr:to>
    <xdr:graphicFrame macro="">
      <xdr:nvGraphicFramePr>
        <xdr:cNvPr id="4" name="Диаграмма 7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97155</xdr:colOff>
      <xdr:row>163</xdr:row>
      <xdr:rowOff>24765</xdr:rowOff>
    </xdr:from>
    <xdr:to>
      <xdr:col>13</xdr:col>
      <xdr:colOff>373380</xdr:colOff>
      <xdr:row>176</xdr:row>
      <xdr:rowOff>140970</xdr:rowOff>
    </xdr:to>
    <xdr:graphicFrame macro="">
      <xdr:nvGraphicFramePr>
        <xdr:cNvPr id="5" name="Диаграмма 7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133350</xdr:colOff>
      <xdr:row>145</xdr:row>
      <xdr:rowOff>59055</xdr:rowOff>
    </xdr:from>
    <xdr:to>
      <xdr:col>10</xdr:col>
      <xdr:colOff>66675</xdr:colOff>
      <xdr:row>158</xdr:row>
      <xdr:rowOff>15240</xdr:rowOff>
    </xdr:to>
    <xdr:graphicFrame macro="">
      <xdr:nvGraphicFramePr>
        <xdr:cNvPr id="6" name="Диаграмма 7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2;&#1088;&#1072;&#1084;&#1077;&#1090;&#1088;&#1099;+&#1089;&#1084;&#1077;&#1090;&#1072;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 свод"/>
      <sheetName val="Доходы"/>
      <sheetName val="Расходы"/>
      <sheetName val="Дефицит"/>
      <sheetName val="РасчетДоходов"/>
      <sheetName val="СВОД смет"/>
      <sheetName val="смВДЛ"/>
      <sheetName val="расчВДЛ"/>
      <sheetName val="смДеп"/>
      <sheetName val="расчДеп"/>
      <sheetName val="смАУП"/>
      <sheetName val="расчАУП"/>
      <sheetName val="смКСП"/>
      <sheetName val="расчКСП"/>
      <sheetName val="смВыборы"/>
      <sheetName val="расчВыборы"/>
      <sheetName val="смРезерв"/>
      <sheetName val="расчРезерв"/>
      <sheetName val="смАдмПр"/>
      <sheetName val="расчАдмПр"/>
      <sheetName val="смПуст"/>
      <sheetName val="расчПуст"/>
      <sheetName val="смИнж.Сети"/>
      <sheetName val="расчИнж.Сети"/>
      <sheetName val="смАсс"/>
      <sheetName val="расчАсс"/>
      <sheetName val="смНедвиж"/>
      <sheetName val="расчНедвиж"/>
      <sheetName val="смУМИ"/>
      <sheetName val="расчУМИ"/>
      <sheetName val="смПВУ"/>
      <sheetName val="расчПВУ"/>
      <sheetName val="смГОиЧС"/>
      <sheetName val="расчГОиЧС"/>
      <sheetName val="смДороги"/>
      <sheetName val="расчДороги"/>
      <sheetName val="смМежев"/>
      <sheetName val="расчМежев"/>
      <sheetName val="смПУ"/>
      <sheetName val="расчПУ"/>
      <sheetName val="смРемонт"/>
      <sheetName val="расчРемонт"/>
      <sheetName val="смСточ.Вод"/>
      <sheetName val="расчСточ.Вод"/>
      <sheetName val="смКотел"/>
      <sheetName val="расчКотел"/>
      <sheetName val="смПроект.Док-ия"/>
      <sheetName val="расчПроект.док-ия"/>
      <sheetName val="смБаня"/>
      <sheetName val="расчБаня"/>
      <sheetName val="смДетПлощ"/>
      <sheetName val="расчДетПлощ"/>
      <sheetName val="смУлОсв"/>
      <sheetName val="расчУлОсв"/>
      <sheetName val="смБлаг-во"/>
      <sheetName val="расчБлаг-во"/>
      <sheetName val="смДК(ЦП РБ)"/>
      <sheetName val="смРитуал"/>
      <sheetName val="расчРитуал"/>
      <sheetName val="смПенс"/>
      <sheetName val="расчПенс"/>
      <sheetName val="смСоциал"/>
      <sheetName val="расчСоц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3">
          <cell r="H23" t="str">
            <v>Н.В. Ипполитова</v>
          </cell>
        </row>
        <row r="25">
          <cell r="A25" t="str">
            <v>Исполнитель: финансист</v>
          </cell>
          <cell r="H25" t="str">
            <v>Е.Н. Рыбалка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N113"/>
  <sheetViews>
    <sheetView topLeftCell="A84" workbookViewId="0">
      <selection activeCell="C97" sqref="C97"/>
    </sheetView>
  </sheetViews>
  <sheetFormatPr defaultRowHeight="12.75" x14ac:dyDescent="0.2"/>
  <cols>
    <col min="1" max="1" width="24.28515625" style="1" customWidth="1"/>
    <col min="2" max="2" width="47.5703125" style="1" customWidth="1"/>
    <col min="3" max="5" width="11.5703125" style="1" customWidth="1"/>
    <col min="6" max="6" width="5.5703125" style="1" customWidth="1"/>
    <col min="7" max="7" width="12.85546875" style="39" bestFit="1" customWidth="1"/>
    <col min="8" max="11" width="12.7109375" style="1" customWidth="1"/>
    <col min="12" max="13" width="11.28515625" style="1" customWidth="1"/>
    <col min="14" max="253" width="9.140625" style="1"/>
    <col min="254" max="254" width="24.28515625" style="1" customWidth="1"/>
    <col min="255" max="255" width="47.5703125" style="1" customWidth="1"/>
    <col min="256" max="258" width="11.5703125" style="1" customWidth="1"/>
    <col min="259" max="259" width="5.5703125" style="1" customWidth="1"/>
    <col min="260" max="509" width="9.140625" style="1"/>
    <col min="510" max="510" width="24.28515625" style="1" customWidth="1"/>
    <col min="511" max="511" width="47.5703125" style="1" customWidth="1"/>
    <col min="512" max="514" width="11.5703125" style="1" customWidth="1"/>
    <col min="515" max="515" width="5.5703125" style="1" customWidth="1"/>
    <col min="516" max="765" width="9.140625" style="1"/>
    <col min="766" max="766" width="24.28515625" style="1" customWidth="1"/>
    <col min="767" max="767" width="47.5703125" style="1" customWidth="1"/>
    <col min="768" max="770" width="11.5703125" style="1" customWidth="1"/>
    <col min="771" max="771" width="5.5703125" style="1" customWidth="1"/>
    <col min="772" max="1021" width="9.140625" style="1"/>
    <col min="1022" max="1022" width="24.28515625" style="1" customWidth="1"/>
    <col min="1023" max="1023" width="47.5703125" style="1" customWidth="1"/>
    <col min="1024" max="1026" width="11.5703125" style="1" customWidth="1"/>
    <col min="1027" max="1027" width="5.5703125" style="1" customWidth="1"/>
    <col min="1028" max="1277" width="9.140625" style="1"/>
    <col min="1278" max="1278" width="24.28515625" style="1" customWidth="1"/>
    <col min="1279" max="1279" width="47.5703125" style="1" customWidth="1"/>
    <col min="1280" max="1282" width="11.5703125" style="1" customWidth="1"/>
    <col min="1283" max="1283" width="5.5703125" style="1" customWidth="1"/>
    <col min="1284" max="1533" width="9.140625" style="1"/>
    <col min="1534" max="1534" width="24.28515625" style="1" customWidth="1"/>
    <col min="1535" max="1535" width="47.5703125" style="1" customWidth="1"/>
    <col min="1536" max="1538" width="11.5703125" style="1" customWidth="1"/>
    <col min="1539" max="1539" width="5.5703125" style="1" customWidth="1"/>
    <col min="1540" max="1789" width="9.140625" style="1"/>
    <col min="1790" max="1790" width="24.28515625" style="1" customWidth="1"/>
    <col min="1791" max="1791" width="47.5703125" style="1" customWidth="1"/>
    <col min="1792" max="1794" width="11.5703125" style="1" customWidth="1"/>
    <col min="1795" max="1795" width="5.5703125" style="1" customWidth="1"/>
    <col min="1796" max="2045" width="9.140625" style="1"/>
    <col min="2046" max="2046" width="24.28515625" style="1" customWidth="1"/>
    <col min="2047" max="2047" width="47.5703125" style="1" customWidth="1"/>
    <col min="2048" max="2050" width="11.5703125" style="1" customWidth="1"/>
    <col min="2051" max="2051" width="5.5703125" style="1" customWidth="1"/>
    <col min="2052" max="2301" width="9.140625" style="1"/>
    <col min="2302" max="2302" width="24.28515625" style="1" customWidth="1"/>
    <col min="2303" max="2303" width="47.5703125" style="1" customWidth="1"/>
    <col min="2304" max="2306" width="11.5703125" style="1" customWidth="1"/>
    <col min="2307" max="2307" width="5.5703125" style="1" customWidth="1"/>
    <col min="2308" max="2557" width="9.140625" style="1"/>
    <col min="2558" max="2558" width="24.28515625" style="1" customWidth="1"/>
    <col min="2559" max="2559" width="47.5703125" style="1" customWidth="1"/>
    <col min="2560" max="2562" width="11.5703125" style="1" customWidth="1"/>
    <col min="2563" max="2563" width="5.5703125" style="1" customWidth="1"/>
    <col min="2564" max="2813" width="9.140625" style="1"/>
    <col min="2814" max="2814" width="24.28515625" style="1" customWidth="1"/>
    <col min="2815" max="2815" width="47.5703125" style="1" customWidth="1"/>
    <col min="2816" max="2818" width="11.5703125" style="1" customWidth="1"/>
    <col min="2819" max="2819" width="5.5703125" style="1" customWidth="1"/>
    <col min="2820" max="3069" width="9.140625" style="1"/>
    <col min="3070" max="3070" width="24.28515625" style="1" customWidth="1"/>
    <col min="3071" max="3071" width="47.5703125" style="1" customWidth="1"/>
    <col min="3072" max="3074" width="11.5703125" style="1" customWidth="1"/>
    <col min="3075" max="3075" width="5.5703125" style="1" customWidth="1"/>
    <col min="3076" max="3325" width="9.140625" style="1"/>
    <col min="3326" max="3326" width="24.28515625" style="1" customWidth="1"/>
    <col min="3327" max="3327" width="47.5703125" style="1" customWidth="1"/>
    <col min="3328" max="3330" width="11.5703125" style="1" customWidth="1"/>
    <col min="3331" max="3331" width="5.5703125" style="1" customWidth="1"/>
    <col min="3332" max="3581" width="9.140625" style="1"/>
    <col min="3582" max="3582" width="24.28515625" style="1" customWidth="1"/>
    <col min="3583" max="3583" width="47.5703125" style="1" customWidth="1"/>
    <col min="3584" max="3586" width="11.5703125" style="1" customWidth="1"/>
    <col min="3587" max="3587" width="5.5703125" style="1" customWidth="1"/>
    <col min="3588" max="3837" width="9.140625" style="1"/>
    <col min="3838" max="3838" width="24.28515625" style="1" customWidth="1"/>
    <col min="3839" max="3839" width="47.5703125" style="1" customWidth="1"/>
    <col min="3840" max="3842" width="11.5703125" style="1" customWidth="1"/>
    <col min="3843" max="3843" width="5.5703125" style="1" customWidth="1"/>
    <col min="3844" max="4093" width="9.140625" style="1"/>
    <col min="4094" max="4094" width="24.28515625" style="1" customWidth="1"/>
    <col min="4095" max="4095" width="47.5703125" style="1" customWidth="1"/>
    <col min="4096" max="4098" width="11.5703125" style="1" customWidth="1"/>
    <col min="4099" max="4099" width="5.5703125" style="1" customWidth="1"/>
    <col min="4100" max="4349" width="9.140625" style="1"/>
    <col min="4350" max="4350" width="24.28515625" style="1" customWidth="1"/>
    <col min="4351" max="4351" width="47.5703125" style="1" customWidth="1"/>
    <col min="4352" max="4354" width="11.5703125" style="1" customWidth="1"/>
    <col min="4355" max="4355" width="5.5703125" style="1" customWidth="1"/>
    <col min="4356" max="4605" width="9.140625" style="1"/>
    <col min="4606" max="4606" width="24.28515625" style="1" customWidth="1"/>
    <col min="4607" max="4607" width="47.5703125" style="1" customWidth="1"/>
    <col min="4608" max="4610" width="11.5703125" style="1" customWidth="1"/>
    <col min="4611" max="4611" width="5.5703125" style="1" customWidth="1"/>
    <col min="4612" max="4861" width="9.140625" style="1"/>
    <col min="4862" max="4862" width="24.28515625" style="1" customWidth="1"/>
    <col min="4863" max="4863" width="47.5703125" style="1" customWidth="1"/>
    <col min="4864" max="4866" width="11.5703125" style="1" customWidth="1"/>
    <col min="4867" max="4867" width="5.5703125" style="1" customWidth="1"/>
    <col min="4868" max="5117" width="9.140625" style="1"/>
    <col min="5118" max="5118" width="24.28515625" style="1" customWidth="1"/>
    <col min="5119" max="5119" width="47.5703125" style="1" customWidth="1"/>
    <col min="5120" max="5122" width="11.5703125" style="1" customWidth="1"/>
    <col min="5123" max="5123" width="5.5703125" style="1" customWidth="1"/>
    <col min="5124" max="5373" width="9.140625" style="1"/>
    <col min="5374" max="5374" width="24.28515625" style="1" customWidth="1"/>
    <col min="5375" max="5375" width="47.5703125" style="1" customWidth="1"/>
    <col min="5376" max="5378" width="11.5703125" style="1" customWidth="1"/>
    <col min="5379" max="5379" width="5.5703125" style="1" customWidth="1"/>
    <col min="5380" max="5629" width="9.140625" style="1"/>
    <col min="5630" max="5630" width="24.28515625" style="1" customWidth="1"/>
    <col min="5631" max="5631" width="47.5703125" style="1" customWidth="1"/>
    <col min="5632" max="5634" width="11.5703125" style="1" customWidth="1"/>
    <col min="5635" max="5635" width="5.5703125" style="1" customWidth="1"/>
    <col min="5636" max="5885" width="9.140625" style="1"/>
    <col min="5886" max="5886" width="24.28515625" style="1" customWidth="1"/>
    <col min="5887" max="5887" width="47.5703125" style="1" customWidth="1"/>
    <col min="5888" max="5890" width="11.5703125" style="1" customWidth="1"/>
    <col min="5891" max="5891" width="5.5703125" style="1" customWidth="1"/>
    <col min="5892" max="6141" width="9.140625" style="1"/>
    <col min="6142" max="6142" width="24.28515625" style="1" customWidth="1"/>
    <col min="6143" max="6143" width="47.5703125" style="1" customWidth="1"/>
    <col min="6144" max="6146" width="11.5703125" style="1" customWidth="1"/>
    <col min="6147" max="6147" width="5.5703125" style="1" customWidth="1"/>
    <col min="6148" max="6397" width="9.140625" style="1"/>
    <col min="6398" max="6398" width="24.28515625" style="1" customWidth="1"/>
    <col min="6399" max="6399" width="47.5703125" style="1" customWidth="1"/>
    <col min="6400" max="6402" width="11.5703125" style="1" customWidth="1"/>
    <col min="6403" max="6403" width="5.5703125" style="1" customWidth="1"/>
    <col min="6404" max="6653" width="9.140625" style="1"/>
    <col min="6654" max="6654" width="24.28515625" style="1" customWidth="1"/>
    <col min="6655" max="6655" width="47.5703125" style="1" customWidth="1"/>
    <col min="6656" max="6658" width="11.5703125" style="1" customWidth="1"/>
    <col min="6659" max="6659" width="5.5703125" style="1" customWidth="1"/>
    <col min="6660" max="6909" width="9.140625" style="1"/>
    <col min="6910" max="6910" width="24.28515625" style="1" customWidth="1"/>
    <col min="6911" max="6911" width="47.5703125" style="1" customWidth="1"/>
    <col min="6912" max="6914" width="11.5703125" style="1" customWidth="1"/>
    <col min="6915" max="6915" width="5.5703125" style="1" customWidth="1"/>
    <col min="6916" max="7165" width="9.140625" style="1"/>
    <col min="7166" max="7166" width="24.28515625" style="1" customWidth="1"/>
    <col min="7167" max="7167" width="47.5703125" style="1" customWidth="1"/>
    <col min="7168" max="7170" width="11.5703125" style="1" customWidth="1"/>
    <col min="7171" max="7171" width="5.5703125" style="1" customWidth="1"/>
    <col min="7172" max="7421" width="9.140625" style="1"/>
    <col min="7422" max="7422" width="24.28515625" style="1" customWidth="1"/>
    <col min="7423" max="7423" width="47.5703125" style="1" customWidth="1"/>
    <col min="7424" max="7426" width="11.5703125" style="1" customWidth="1"/>
    <col min="7427" max="7427" width="5.5703125" style="1" customWidth="1"/>
    <col min="7428" max="7677" width="9.140625" style="1"/>
    <col min="7678" max="7678" width="24.28515625" style="1" customWidth="1"/>
    <col min="7679" max="7679" width="47.5703125" style="1" customWidth="1"/>
    <col min="7680" max="7682" width="11.5703125" style="1" customWidth="1"/>
    <col min="7683" max="7683" width="5.5703125" style="1" customWidth="1"/>
    <col min="7684" max="7933" width="9.140625" style="1"/>
    <col min="7934" max="7934" width="24.28515625" style="1" customWidth="1"/>
    <col min="7935" max="7935" width="47.5703125" style="1" customWidth="1"/>
    <col min="7936" max="7938" width="11.5703125" style="1" customWidth="1"/>
    <col min="7939" max="7939" width="5.5703125" style="1" customWidth="1"/>
    <col min="7940" max="8189" width="9.140625" style="1"/>
    <col min="8190" max="8190" width="24.28515625" style="1" customWidth="1"/>
    <col min="8191" max="8191" width="47.5703125" style="1" customWidth="1"/>
    <col min="8192" max="8194" width="11.5703125" style="1" customWidth="1"/>
    <col min="8195" max="8195" width="5.5703125" style="1" customWidth="1"/>
    <col min="8196" max="8445" width="9.140625" style="1"/>
    <col min="8446" max="8446" width="24.28515625" style="1" customWidth="1"/>
    <col min="8447" max="8447" width="47.5703125" style="1" customWidth="1"/>
    <col min="8448" max="8450" width="11.5703125" style="1" customWidth="1"/>
    <col min="8451" max="8451" width="5.5703125" style="1" customWidth="1"/>
    <col min="8452" max="8701" width="9.140625" style="1"/>
    <col min="8702" max="8702" width="24.28515625" style="1" customWidth="1"/>
    <col min="8703" max="8703" width="47.5703125" style="1" customWidth="1"/>
    <col min="8704" max="8706" width="11.5703125" style="1" customWidth="1"/>
    <col min="8707" max="8707" width="5.5703125" style="1" customWidth="1"/>
    <col min="8708" max="8957" width="9.140625" style="1"/>
    <col min="8958" max="8958" width="24.28515625" style="1" customWidth="1"/>
    <col min="8959" max="8959" width="47.5703125" style="1" customWidth="1"/>
    <col min="8960" max="8962" width="11.5703125" style="1" customWidth="1"/>
    <col min="8963" max="8963" width="5.5703125" style="1" customWidth="1"/>
    <col min="8964" max="9213" width="9.140625" style="1"/>
    <col min="9214" max="9214" width="24.28515625" style="1" customWidth="1"/>
    <col min="9215" max="9215" width="47.5703125" style="1" customWidth="1"/>
    <col min="9216" max="9218" width="11.5703125" style="1" customWidth="1"/>
    <col min="9219" max="9219" width="5.5703125" style="1" customWidth="1"/>
    <col min="9220" max="9469" width="9.140625" style="1"/>
    <col min="9470" max="9470" width="24.28515625" style="1" customWidth="1"/>
    <col min="9471" max="9471" width="47.5703125" style="1" customWidth="1"/>
    <col min="9472" max="9474" width="11.5703125" style="1" customWidth="1"/>
    <col min="9475" max="9475" width="5.5703125" style="1" customWidth="1"/>
    <col min="9476" max="9725" width="9.140625" style="1"/>
    <col min="9726" max="9726" width="24.28515625" style="1" customWidth="1"/>
    <col min="9727" max="9727" width="47.5703125" style="1" customWidth="1"/>
    <col min="9728" max="9730" width="11.5703125" style="1" customWidth="1"/>
    <col min="9731" max="9731" width="5.5703125" style="1" customWidth="1"/>
    <col min="9732" max="9981" width="9.140625" style="1"/>
    <col min="9982" max="9982" width="24.28515625" style="1" customWidth="1"/>
    <col min="9983" max="9983" width="47.5703125" style="1" customWidth="1"/>
    <col min="9984" max="9986" width="11.5703125" style="1" customWidth="1"/>
    <col min="9987" max="9987" width="5.5703125" style="1" customWidth="1"/>
    <col min="9988" max="10237" width="9.140625" style="1"/>
    <col min="10238" max="10238" width="24.28515625" style="1" customWidth="1"/>
    <col min="10239" max="10239" width="47.5703125" style="1" customWidth="1"/>
    <col min="10240" max="10242" width="11.5703125" style="1" customWidth="1"/>
    <col min="10243" max="10243" width="5.5703125" style="1" customWidth="1"/>
    <col min="10244" max="10493" width="9.140625" style="1"/>
    <col min="10494" max="10494" width="24.28515625" style="1" customWidth="1"/>
    <col min="10495" max="10495" width="47.5703125" style="1" customWidth="1"/>
    <col min="10496" max="10498" width="11.5703125" style="1" customWidth="1"/>
    <col min="10499" max="10499" width="5.5703125" style="1" customWidth="1"/>
    <col min="10500" max="10749" width="9.140625" style="1"/>
    <col min="10750" max="10750" width="24.28515625" style="1" customWidth="1"/>
    <col min="10751" max="10751" width="47.5703125" style="1" customWidth="1"/>
    <col min="10752" max="10754" width="11.5703125" style="1" customWidth="1"/>
    <col min="10755" max="10755" width="5.5703125" style="1" customWidth="1"/>
    <col min="10756" max="11005" width="9.140625" style="1"/>
    <col min="11006" max="11006" width="24.28515625" style="1" customWidth="1"/>
    <col min="11007" max="11007" width="47.5703125" style="1" customWidth="1"/>
    <col min="11008" max="11010" width="11.5703125" style="1" customWidth="1"/>
    <col min="11011" max="11011" width="5.5703125" style="1" customWidth="1"/>
    <col min="11012" max="11261" width="9.140625" style="1"/>
    <col min="11262" max="11262" width="24.28515625" style="1" customWidth="1"/>
    <col min="11263" max="11263" width="47.5703125" style="1" customWidth="1"/>
    <col min="11264" max="11266" width="11.5703125" style="1" customWidth="1"/>
    <col min="11267" max="11267" width="5.5703125" style="1" customWidth="1"/>
    <col min="11268" max="11517" width="9.140625" style="1"/>
    <col min="11518" max="11518" width="24.28515625" style="1" customWidth="1"/>
    <col min="11519" max="11519" width="47.5703125" style="1" customWidth="1"/>
    <col min="11520" max="11522" width="11.5703125" style="1" customWidth="1"/>
    <col min="11523" max="11523" width="5.5703125" style="1" customWidth="1"/>
    <col min="11524" max="11773" width="9.140625" style="1"/>
    <col min="11774" max="11774" width="24.28515625" style="1" customWidth="1"/>
    <col min="11775" max="11775" width="47.5703125" style="1" customWidth="1"/>
    <col min="11776" max="11778" width="11.5703125" style="1" customWidth="1"/>
    <col min="11779" max="11779" width="5.5703125" style="1" customWidth="1"/>
    <col min="11780" max="12029" width="9.140625" style="1"/>
    <col min="12030" max="12030" width="24.28515625" style="1" customWidth="1"/>
    <col min="12031" max="12031" width="47.5703125" style="1" customWidth="1"/>
    <col min="12032" max="12034" width="11.5703125" style="1" customWidth="1"/>
    <col min="12035" max="12035" width="5.5703125" style="1" customWidth="1"/>
    <col min="12036" max="12285" width="9.140625" style="1"/>
    <col min="12286" max="12286" width="24.28515625" style="1" customWidth="1"/>
    <col min="12287" max="12287" width="47.5703125" style="1" customWidth="1"/>
    <col min="12288" max="12290" width="11.5703125" style="1" customWidth="1"/>
    <col min="12291" max="12291" width="5.5703125" style="1" customWidth="1"/>
    <col min="12292" max="12541" width="9.140625" style="1"/>
    <col min="12542" max="12542" width="24.28515625" style="1" customWidth="1"/>
    <col min="12543" max="12543" width="47.5703125" style="1" customWidth="1"/>
    <col min="12544" max="12546" width="11.5703125" style="1" customWidth="1"/>
    <col min="12547" max="12547" width="5.5703125" style="1" customWidth="1"/>
    <col min="12548" max="12797" width="9.140625" style="1"/>
    <col min="12798" max="12798" width="24.28515625" style="1" customWidth="1"/>
    <col min="12799" max="12799" width="47.5703125" style="1" customWidth="1"/>
    <col min="12800" max="12802" width="11.5703125" style="1" customWidth="1"/>
    <col min="12803" max="12803" width="5.5703125" style="1" customWidth="1"/>
    <col min="12804" max="13053" width="9.140625" style="1"/>
    <col min="13054" max="13054" width="24.28515625" style="1" customWidth="1"/>
    <col min="13055" max="13055" width="47.5703125" style="1" customWidth="1"/>
    <col min="13056" max="13058" width="11.5703125" style="1" customWidth="1"/>
    <col min="13059" max="13059" width="5.5703125" style="1" customWidth="1"/>
    <col min="13060" max="13309" width="9.140625" style="1"/>
    <col min="13310" max="13310" width="24.28515625" style="1" customWidth="1"/>
    <col min="13311" max="13311" width="47.5703125" style="1" customWidth="1"/>
    <col min="13312" max="13314" width="11.5703125" style="1" customWidth="1"/>
    <col min="13315" max="13315" width="5.5703125" style="1" customWidth="1"/>
    <col min="13316" max="13565" width="9.140625" style="1"/>
    <col min="13566" max="13566" width="24.28515625" style="1" customWidth="1"/>
    <col min="13567" max="13567" width="47.5703125" style="1" customWidth="1"/>
    <col min="13568" max="13570" width="11.5703125" style="1" customWidth="1"/>
    <col min="13571" max="13571" width="5.5703125" style="1" customWidth="1"/>
    <col min="13572" max="13821" width="9.140625" style="1"/>
    <col min="13822" max="13822" width="24.28515625" style="1" customWidth="1"/>
    <col min="13823" max="13823" width="47.5703125" style="1" customWidth="1"/>
    <col min="13824" max="13826" width="11.5703125" style="1" customWidth="1"/>
    <col min="13827" max="13827" width="5.5703125" style="1" customWidth="1"/>
    <col min="13828" max="14077" width="9.140625" style="1"/>
    <col min="14078" max="14078" width="24.28515625" style="1" customWidth="1"/>
    <col min="14079" max="14079" width="47.5703125" style="1" customWidth="1"/>
    <col min="14080" max="14082" width="11.5703125" style="1" customWidth="1"/>
    <col min="14083" max="14083" width="5.5703125" style="1" customWidth="1"/>
    <col min="14084" max="14333" width="9.140625" style="1"/>
    <col min="14334" max="14334" width="24.28515625" style="1" customWidth="1"/>
    <col min="14335" max="14335" width="47.5703125" style="1" customWidth="1"/>
    <col min="14336" max="14338" width="11.5703125" style="1" customWidth="1"/>
    <col min="14339" max="14339" width="5.5703125" style="1" customWidth="1"/>
    <col min="14340" max="14589" width="9.140625" style="1"/>
    <col min="14590" max="14590" width="24.28515625" style="1" customWidth="1"/>
    <col min="14591" max="14591" width="47.5703125" style="1" customWidth="1"/>
    <col min="14592" max="14594" width="11.5703125" style="1" customWidth="1"/>
    <col min="14595" max="14595" width="5.5703125" style="1" customWidth="1"/>
    <col min="14596" max="14845" width="9.140625" style="1"/>
    <col min="14846" max="14846" width="24.28515625" style="1" customWidth="1"/>
    <col min="14847" max="14847" width="47.5703125" style="1" customWidth="1"/>
    <col min="14848" max="14850" width="11.5703125" style="1" customWidth="1"/>
    <col min="14851" max="14851" width="5.5703125" style="1" customWidth="1"/>
    <col min="14852" max="15101" width="9.140625" style="1"/>
    <col min="15102" max="15102" width="24.28515625" style="1" customWidth="1"/>
    <col min="15103" max="15103" width="47.5703125" style="1" customWidth="1"/>
    <col min="15104" max="15106" width="11.5703125" style="1" customWidth="1"/>
    <col min="15107" max="15107" width="5.5703125" style="1" customWidth="1"/>
    <col min="15108" max="15357" width="9.140625" style="1"/>
    <col min="15358" max="15358" width="24.28515625" style="1" customWidth="1"/>
    <col min="15359" max="15359" width="47.5703125" style="1" customWidth="1"/>
    <col min="15360" max="15362" width="11.5703125" style="1" customWidth="1"/>
    <col min="15363" max="15363" width="5.5703125" style="1" customWidth="1"/>
    <col min="15364" max="15613" width="9.140625" style="1"/>
    <col min="15614" max="15614" width="24.28515625" style="1" customWidth="1"/>
    <col min="15615" max="15615" width="47.5703125" style="1" customWidth="1"/>
    <col min="15616" max="15618" width="11.5703125" style="1" customWidth="1"/>
    <col min="15619" max="15619" width="5.5703125" style="1" customWidth="1"/>
    <col min="15620" max="15869" width="9.140625" style="1"/>
    <col min="15870" max="15870" width="24.28515625" style="1" customWidth="1"/>
    <col min="15871" max="15871" width="47.5703125" style="1" customWidth="1"/>
    <col min="15872" max="15874" width="11.5703125" style="1" customWidth="1"/>
    <col min="15875" max="15875" width="5.5703125" style="1" customWidth="1"/>
    <col min="15876" max="16125" width="9.140625" style="1"/>
    <col min="16126" max="16126" width="24.28515625" style="1" customWidth="1"/>
    <col min="16127" max="16127" width="47.5703125" style="1" customWidth="1"/>
    <col min="16128" max="16130" width="11.5703125" style="1" customWidth="1"/>
    <col min="16131" max="16131" width="5.5703125" style="1" customWidth="1"/>
    <col min="16132" max="16384" width="9.140625" style="1"/>
  </cols>
  <sheetData>
    <row r="1" spans="1:10" ht="25.5" customHeight="1" x14ac:dyDescent="0.2">
      <c r="C1" s="1051" t="s">
        <v>0</v>
      </c>
      <c r="D1" s="1051"/>
      <c r="E1" s="1051"/>
    </row>
    <row r="2" spans="1:10" ht="17.25" customHeight="1" x14ac:dyDescent="0.2">
      <c r="A2" s="1052" t="s">
        <v>1</v>
      </c>
      <c r="B2" s="1052"/>
      <c r="C2" s="1052"/>
      <c r="D2" s="1052"/>
      <c r="E2" s="1052"/>
    </row>
    <row r="3" spans="1:10" ht="20.25" customHeight="1" x14ac:dyDescent="0.2">
      <c r="A3" s="1052" t="s">
        <v>709</v>
      </c>
      <c r="B3" s="1052"/>
      <c r="C3" s="1052"/>
      <c r="D3" s="1052"/>
      <c r="E3" s="1052"/>
    </row>
    <row r="4" spans="1:10" ht="13.5" customHeight="1" x14ac:dyDescent="0.2">
      <c r="A4" s="1056" t="s">
        <v>2</v>
      </c>
      <c r="B4" s="1056"/>
      <c r="C4" s="1056"/>
      <c r="D4" s="1056"/>
      <c r="E4" s="1056"/>
    </row>
    <row r="5" spans="1:10" ht="18" customHeight="1" x14ac:dyDescent="0.2">
      <c r="A5" s="1053" t="s">
        <v>3</v>
      </c>
      <c r="B5" s="1054" t="s">
        <v>4</v>
      </c>
      <c r="C5" s="1055" t="s">
        <v>726</v>
      </c>
      <c r="D5" s="1055" t="s">
        <v>5</v>
      </c>
      <c r="E5" s="1055"/>
    </row>
    <row r="6" spans="1:10" ht="35.25" customHeight="1" x14ac:dyDescent="0.2">
      <c r="A6" s="1053"/>
      <c r="B6" s="1054"/>
      <c r="C6" s="1055"/>
      <c r="D6" s="2" t="s">
        <v>727</v>
      </c>
      <c r="E6" s="2" t="s">
        <v>728</v>
      </c>
      <c r="H6" s="1" t="s">
        <v>876</v>
      </c>
    </row>
    <row r="7" spans="1:10" ht="15" x14ac:dyDescent="0.25">
      <c r="A7" s="3"/>
      <c r="B7" s="4" t="s">
        <v>6</v>
      </c>
      <c r="C7" s="5">
        <f>C8+C47</f>
        <v>30236.400000000001</v>
      </c>
      <c r="D7" s="5">
        <f>D8+D47</f>
        <v>28242.7</v>
      </c>
      <c r="E7" s="5">
        <f>E8+E47</f>
        <v>28562.6</v>
      </c>
      <c r="H7" s="1" t="s">
        <v>875</v>
      </c>
      <c r="J7" s="913">
        <f>C8+C49</f>
        <v>17715.400000000001</v>
      </c>
    </row>
    <row r="8" spans="1:10" ht="26.25" customHeight="1" thickBot="1" x14ac:dyDescent="0.25">
      <c r="A8" s="689" t="s">
        <v>7</v>
      </c>
      <c r="B8" s="690" t="s">
        <v>8</v>
      </c>
      <c r="C8" s="6">
        <f>C9+C13+C18+C22+C26+C29+C36+C40+C44</f>
        <v>6729.9000000000005</v>
      </c>
      <c r="D8" s="6">
        <f>D9+D13+D18+D22+D26+D29+D40+D44</f>
        <v>6519.2</v>
      </c>
      <c r="E8" s="6">
        <f>E9+E13+E18+E22+E26+E29+E40+E44</f>
        <v>6793.1</v>
      </c>
      <c r="G8" s="649"/>
      <c r="H8" s="914">
        <v>0.80900000000000005</v>
      </c>
      <c r="I8" s="914">
        <v>0.23699999999999999</v>
      </c>
    </row>
    <row r="9" spans="1:10" ht="16.5" thickTop="1" thickBot="1" x14ac:dyDescent="0.25">
      <c r="A9" s="689" t="s">
        <v>9</v>
      </c>
      <c r="B9" s="691" t="s">
        <v>10</v>
      </c>
      <c r="C9" s="6">
        <f t="shared" ref="C9:E10" si="0">C10</f>
        <v>1445.3</v>
      </c>
      <c r="D9" s="6">
        <f t="shared" si="0"/>
        <v>1524.5</v>
      </c>
      <c r="E9" s="6">
        <f t="shared" si="0"/>
        <v>1626.5</v>
      </c>
      <c r="H9" s="112">
        <f>ROUND(J7*H8,1)</f>
        <v>14331.8</v>
      </c>
      <c r="I9" s="112">
        <f>ROUND(J7*I8,1)</f>
        <v>4198.5</v>
      </c>
    </row>
    <row r="10" spans="1:10" ht="15" x14ac:dyDescent="0.2">
      <c r="A10" s="689" t="s">
        <v>11</v>
      </c>
      <c r="B10" s="8" t="s">
        <v>12</v>
      </c>
      <c r="C10" s="6">
        <f t="shared" si="0"/>
        <v>1445.3</v>
      </c>
      <c r="D10" s="6">
        <f t="shared" si="0"/>
        <v>1524.5</v>
      </c>
      <c r="E10" s="6">
        <f t="shared" si="0"/>
        <v>1626.5</v>
      </c>
      <c r="H10" s="112">
        <f>Расходы!G11+Расходы!G15+Расходы!G23-Расходы!G27</f>
        <v>13732.400000000001</v>
      </c>
      <c r="I10" s="112">
        <f>рВДЛ!G12+рВДЛ!I29+рЗП!G9+9</f>
        <v>3867.7</v>
      </c>
      <c r="J10" s="1" t="s">
        <v>877</v>
      </c>
    </row>
    <row r="11" spans="1:10" ht="76.5" x14ac:dyDescent="0.2">
      <c r="A11" s="9" t="s">
        <v>774</v>
      </c>
      <c r="B11" s="10" t="s">
        <v>775</v>
      </c>
      <c r="C11" s="11">
        <f>РасчетДоходов!F8</f>
        <v>1445.3</v>
      </c>
      <c r="D11" s="11">
        <f>ROUND((C11*1.0548),1)</f>
        <v>1524.5</v>
      </c>
      <c r="E11" s="11">
        <f>ROUND((D11*1.0669),1)</f>
        <v>1626.5</v>
      </c>
      <c r="H11" s="506"/>
    </row>
    <row r="12" spans="1:10" ht="45.75" thickBot="1" x14ac:dyDescent="0.25">
      <c r="A12" s="73" t="s">
        <v>13</v>
      </c>
      <c r="B12" s="596" t="s">
        <v>14</v>
      </c>
      <c r="C12" s="6">
        <f>C13</f>
        <v>1963.4</v>
      </c>
      <c r="D12" s="6">
        <f>D13</f>
        <v>2071</v>
      </c>
      <c r="E12" s="6">
        <f>E13</f>
        <v>2221.1999999999998</v>
      </c>
    </row>
    <row r="13" spans="1:10" ht="45" x14ac:dyDescent="0.2">
      <c r="A13" s="73" t="s">
        <v>15</v>
      </c>
      <c r="B13" s="12" t="s">
        <v>16</v>
      </c>
      <c r="C13" s="13">
        <f>SUM(C14:C17)</f>
        <v>1963.4</v>
      </c>
      <c r="D13" s="13">
        <f>SUM(D14:D17)</f>
        <v>2071</v>
      </c>
      <c r="E13" s="13">
        <f>SUM(E14:E17)</f>
        <v>2221.1999999999998</v>
      </c>
      <c r="G13" s="650"/>
    </row>
    <row r="14" spans="1:10" ht="76.5" x14ac:dyDescent="0.2">
      <c r="A14" s="14" t="s">
        <v>17</v>
      </c>
      <c r="B14" s="15" t="s">
        <v>18</v>
      </c>
      <c r="C14" s="11">
        <f>РасчетДоходов!D49</f>
        <v>899.7</v>
      </c>
      <c r="D14" s="11">
        <f>РасчетДоходов!E49</f>
        <v>954.7</v>
      </c>
      <c r="E14" s="11">
        <f>РасчетДоходов!F49</f>
        <v>1022.4</v>
      </c>
      <c r="G14" s="651"/>
    </row>
    <row r="15" spans="1:10" ht="89.25" x14ac:dyDescent="0.2">
      <c r="A15" s="14" t="s">
        <v>19</v>
      </c>
      <c r="B15" s="15" t="s">
        <v>20</v>
      </c>
      <c r="C15" s="11">
        <f>РасчетДоходов!D50</f>
        <v>4.5999999999999996</v>
      </c>
      <c r="D15" s="11">
        <f>РасчетДоходов!E50</f>
        <v>4.8</v>
      </c>
      <c r="E15" s="11">
        <f>РасчетДоходов!F50</f>
        <v>5</v>
      </c>
      <c r="G15" s="651"/>
    </row>
    <row r="16" spans="1:10" ht="76.5" x14ac:dyDescent="0.2">
      <c r="A16" s="14" t="s">
        <v>21</v>
      </c>
      <c r="B16" s="15" t="s">
        <v>22</v>
      </c>
      <c r="C16" s="11">
        <f>РасчетДоходов!D51</f>
        <v>1175.2</v>
      </c>
      <c r="D16" s="11">
        <f>РасчетДоходов!E51</f>
        <v>1243.5</v>
      </c>
      <c r="E16" s="11">
        <f>РасчетДоходов!F51</f>
        <v>1323.6</v>
      </c>
      <c r="G16" s="651"/>
    </row>
    <row r="17" spans="1:10" ht="76.5" x14ac:dyDescent="0.2">
      <c r="A17" s="14" t="s">
        <v>776</v>
      </c>
      <c r="B17" s="15" t="s">
        <v>23</v>
      </c>
      <c r="C17" s="11">
        <f>РасчетДоходов!D52</f>
        <v>-116.1</v>
      </c>
      <c r="D17" s="11">
        <f>РасчетДоходов!E52</f>
        <v>-132</v>
      </c>
      <c r="E17" s="11">
        <f>РасчетДоходов!F52</f>
        <v>-129.80000000000001</v>
      </c>
      <c r="G17" s="651"/>
    </row>
    <row r="18" spans="1:10" ht="15.75" thickBot="1" x14ac:dyDescent="0.25">
      <c r="A18" s="73" t="s">
        <v>24</v>
      </c>
      <c r="B18" s="596" t="s">
        <v>25</v>
      </c>
      <c r="C18" s="13">
        <f t="shared" ref="C18:E20" si="1">C19</f>
        <v>150.5</v>
      </c>
      <c r="D18" s="13">
        <f t="shared" si="1"/>
        <v>101.4</v>
      </c>
      <c r="E18" s="13">
        <f t="shared" si="1"/>
        <v>101.4</v>
      </c>
    </row>
    <row r="19" spans="1:10" ht="25.5" x14ac:dyDescent="0.2">
      <c r="A19" s="14" t="s">
        <v>26</v>
      </c>
      <c r="B19" s="15" t="s">
        <v>27</v>
      </c>
      <c r="C19" s="11">
        <f t="shared" si="1"/>
        <v>150.5</v>
      </c>
      <c r="D19" s="11">
        <f t="shared" si="1"/>
        <v>101.4</v>
      </c>
      <c r="E19" s="11">
        <f t="shared" si="1"/>
        <v>101.4</v>
      </c>
      <c r="H19" s="16"/>
    </row>
    <row r="20" spans="1:10" ht="25.5" x14ac:dyDescent="0.2">
      <c r="A20" s="14" t="s">
        <v>777</v>
      </c>
      <c r="B20" s="15" t="s">
        <v>28</v>
      </c>
      <c r="C20" s="11">
        <f t="shared" si="1"/>
        <v>150.5</v>
      </c>
      <c r="D20" s="11">
        <f t="shared" si="1"/>
        <v>101.4</v>
      </c>
      <c r="E20" s="11">
        <f t="shared" si="1"/>
        <v>101.4</v>
      </c>
      <c r="G20" s="53"/>
      <c r="H20" s="39"/>
      <c r="I20" s="39"/>
      <c r="J20" s="39"/>
    </row>
    <row r="21" spans="1:10" ht="25.5" x14ac:dyDescent="0.2">
      <c r="A21" s="14" t="s">
        <v>29</v>
      </c>
      <c r="B21" s="17" t="s">
        <v>28</v>
      </c>
      <c r="C21" s="11">
        <f>РасчетДоходов!D60+49.1</f>
        <v>150.5</v>
      </c>
      <c r="D21" s="11">
        <f>РасчетДоходов!E60</f>
        <v>101.4</v>
      </c>
      <c r="E21" s="11">
        <f>РасчетДоходов!F60</f>
        <v>101.4</v>
      </c>
      <c r="G21" s="958" t="s">
        <v>561</v>
      </c>
      <c r="J21" s="112"/>
    </row>
    <row r="22" spans="1:10" ht="15.75" thickBot="1" x14ac:dyDescent="0.25">
      <c r="A22" s="689" t="s">
        <v>30</v>
      </c>
      <c r="B22" s="691" t="s">
        <v>31</v>
      </c>
      <c r="C22" s="13">
        <f>C23</f>
        <v>999.4</v>
      </c>
      <c r="D22" s="13">
        <f>D23</f>
        <v>999.4</v>
      </c>
      <c r="E22" s="13">
        <f>E23</f>
        <v>999.4</v>
      </c>
    </row>
    <row r="23" spans="1:10" ht="15" x14ac:dyDescent="0.2">
      <c r="A23" s="689" t="s">
        <v>32</v>
      </c>
      <c r="B23" s="8" t="s">
        <v>33</v>
      </c>
      <c r="C23" s="13">
        <f>C25</f>
        <v>999.4</v>
      </c>
      <c r="D23" s="13">
        <f>D25</f>
        <v>999.4</v>
      </c>
      <c r="E23" s="13">
        <f>E25</f>
        <v>999.4</v>
      </c>
    </row>
    <row r="24" spans="1:10" x14ac:dyDescent="0.2">
      <c r="A24" s="18" t="s">
        <v>34</v>
      </c>
      <c r="B24" s="19" t="s">
        <v>35</v>
      </c>
      <c r="C24" s="20">
        <f>C25</f>
        <v>999.4</v>
      </c>
      <c r="D24" s="20">
        <f>D25</f>
        <v>999.4</v>
      </c>
      <c r="E24" s="20">
        <f>E25</f>
        <v>999.4</v>
      </c>
    </row>
    <row r="25" spans="1:10" ht="38.25" x14ac:dyDescent="0.2">
      <c r="A25" s="18" t="s">
        <v>36</v>
      </c>
      <c r="B25" s="21" t="s">
        <v>778</v>
      </c>
      <c r="C25" s="22">
        <f>РасчетДоходов!F72</f>
        <v>999.4</v>
      </c>
      <c r="D25" s="11">
        <f>C25</f>
        <v>999.4</v>
      </c>
      <c r="E25" s="11">
        <f>D25</f>
        <v>999.4</v>
      </c>
    </row>
    <row r="26" spans="1:10" ht="15" x14ac:dyDescent="0.2">
      <c r="A26" s="689" t="s">
        <v>37</v>
      </c>
      <c r="B26" s="8" t="s">
        <v>38</v>
      </c>
      <c r="C26" s="13">
        <f>C28</f>
        <v>19.600000000000001</v>
      </c>
      <c r="D26" s="13">
        <f>D28</f>
        <v>18.7</v>
      </c>
      <c r="E26" s="13">
        <f>E28</f>
        <v>18.7</v>
      </c>
    </row>
    <row r="27" spans="1:10" ht="51" x14ac:dyDescent="0.2">
      <c r="A27" s="23" t="s">
        <v>39</v>
      </c>
      <c r="B27" s="24" t="s">
        <v>40</v>
      </c>
      <c r="C27" s="20">
        <f>C28</f>
        <v>19.600000000000001</v>
      </c>
      <c r="D27" s="20">
        <f>D28</f>
        <v>18.7</v>
      </c>
      <c r="E27" s="20">
        <f>E28</f>
        <v>18.7</v>
      </c>
    </row>
    <row r="28" spans="1:10" ht="78.75" customHeight="1" x14ac:dyDescent="0.2">
      <c r="A28" s="18" t="s">
        <v>41</v>
      </c>
      <c r="B28" s="21" t="s">
        <v>42</v>
      </c>
      <c r="C28" s="11">
        <f>РасчетДоходов!F99</f>
        <v>19.600000000000001</v>
      </c>
      <c r="D28" s="11">
        <f>AVERAGE(РасчетДоходов!D120,РасчетДоходов!E119,РасчетДоходов!D118)</f>
        <v>18.7</v>
      </c>
      <c r="E28" s="11">
        <f>D28</f>
        <v>18.7</v>
      </c>
    </row>
    <row r="29" spans="1:10" ht="45.75" thickBot="1" x14ac:dyDescent="0.25">
      <c r="A29" s="689" t="s">
        <v>43</v>
      </c>
      <c r="B29" s="692" t="s">
        <v>44</v>
      </c>
      <c r="C29" s="13">
        <f>C30+C33</f>
        <v>1784.4</v>
      </c>
      <c r="D29" s="13">
        <f>D30+D33</f>
        <v>1803.1999999999998</v>
      </c>
      <c r="E29" s="13">
        <f>E30+E33</f>
        <v>1824.9</v>
      </c>
    </row>
    <row r="30" spans="1:10" ht="120" x14ac:dyDescent="0.2">
      <c r="A30" s="87" t="s">
        <v>45</v>
      </c>
      <c r="B30" s="12" t="s">
        <v>46</v>
      </c>
      <c r="C30" s="13">
        <f t="shared" ref="C30:E31" si="2">C31</f>
        <v>1260.8</v>
      </c>
      <c r="D30" s="13">
        <f t="shared" si="2"/>
        <v>1260.8</v>
      </c>
      <c r="E30" s="13">
        <f t="shared" si="2"/>
        <v>1260.8</v>
      </c>
    </row>
    <row r="31" spans="1:10" ht="76.5" x14ac:dyDescent="0.2">
      <c r="A31" s="25" t="s">
        <v>47</v>
      </c>
      <c r="B31" s="10" t="s">
        <v>48</v>
      </c>
      <c r="C31" s="26">
        <f t="shared" si="2"/>
        <v>1260.8</v>
      </c>
      <c r="D31" s="26">
        <f t="shared" si="2"/>
        <v>1260.8</v>
      </c>
      <c r="E31" s="26">
        <f t="shared" si="2"/>
        <v>1260.8</v>
      </c>
    </row>
    <row r="32" spans="1:10" ht="63.75" x14ac:dyDescent="0.2">
      <c r="A32" s="25" t="s">
        <v>49</v>
      </c>
      <c r="B32" s="10" t="s">
        <v>50</v>
      </c>
      <c r="C32" s="26">
        <f>РасчетДоходов!F131</f>
        <v>1260.8</v>
      </c>
      <c r="D32" s="11">
        <f>C32</f>
        <v>1260.8</v>
      </c>
      <c r="E32" s="11">
        <f>D32</f>
        <v>1260.8</v>
      </c>
      <c r="G32" s="990"/>
      <c r="H32" s="990"/>
      <c r="I32" s="990"/>
    </row>
    <row r="33" spans="1:9" ht="105" x14ac:dyDescent="0.2">
      <c r="A33" s="693" t="s">
        <v>682</v>
      </c>
      <c r="B33" s="694" t="s">
        <v>51</v>
      </c>
      <c r="C33" s="28">
        <f t="shared" ref="C33:E34" si="3">C34</f>
        <v>523.6</v>
      </c>
      <c r="D33" s="28">
        <f t="shared" si="3"/>
        <v>542.4</v>
      </c>
      <c r="E33" s="28">
        <f t="shared" si="3"/>
        <v>564.1</v>
      </c>
    </row>
    <row r="34" spans="1:9" ht="76.5" x14ac:dyDescent="0.2">
      <c r="A34" s="25" t="s">
        <v>52</v>
      </c>
      <c r="B34" s="10" t="s">
        <v>53</v>
      </c>
      <c r="C34" s="26">
        <f t="shared" si="3"/>
        <v>523.6</v>
      </c>
      <c r="D34" s="26">
        <f t="shared" si="3"/>
        <v>542.4</v>
      </c>
      <c r="E34" s="26">
        <f t="shared" si="3"/>
        <v>564.1</v>
      </c>
    </row>
    <row r="35" spans="1:9" ht="76.5" x14ac:dyDescent="0.2">
      <c r="A35" s="25" t="s">
        <v>54</v>
      </c>
      <c r="B35" s="10" t="s">
        <v>55</v>
      </c>
      <c r="C35" s="26">
        <f>РасчетДоходов!F163</f>
        <v>523.6</v>
      </c>
      <c r="D35" s="11">
        <f>ROUND((C35*1.036),1)</f>
        <v>542.4</v>
      </c>
      <c r="E35" s="11">
        <f>ROUND((D35*1.04),1)</f>
        <v>564.1</v>
      </c>
    </row>
    <row r="36" spans="1:9" ht="30" x14ac:dyDescent="0.2">
      <c r="A36" s="27" t="s">
        <v>683</v>
      </c>
      <c r="B36" s="29" t="s">
        <v>688</v>
      </c>
      <c r="C36" s="28">
        <f>C37</f>
        <v>366.3</v>
      </c>
      <c r="D36" s="28">
        <f t="shared" ref="D36:E38" si="4">D37</f>
        <v>0</v>
      </c>
      <c r="E36" s="28">
        <f t="shared" si="4"/>
        <v>0</v>
      </c>
    </row>
    <row r="37" spans="1:9" x14ac:dyDescent="0.2">
      <c r="A37" s="25" t="s">
        <v>930</v>
      </c>
      <c r="B37" s="10" t="s">
        <v>929</v>
      </c>
      <c r="C37" s="26">
        <f>C38</f>
        <v>366.3</v>
      </c>
      <c r="D37" s="26">
        <f t="shared" si="4"/>
        <v>0</v>
      </c>
      <c r="E37" s="26">
        <f t="shared" si="4"/>
        <v>0</v>
      </c>
    </row>
    <row r="38" spans="1:9" x14ac:dyDescent="0.2">
      <c r="A38" s="25" t="s">
        <v>687</v>
      </c>
      <c r="B38" s="10" t="s">
        <v>686</v>
      </c>
      <c r="C38" s="26">
        <f>C39</f>
        <v>366.3</v>
      </c>
      <c r="D38" s="26">
        <f t="shared" si="4"/>
        <v>0</v>
      </c>
      <c r="E38" s="26">
        <f t="shared" si="4"/>
        <v>0</v>
      </c>
    </row>
    <row r="39" spans="1:9" ht="25.5" x14ac:dyDescent="0.2">
      <c r="A39" s="25" t="s">
        <v>685</v>
      </c>
      <c r="B39" s="10" t="s">
        <v>684</v>
      </c>
      <c r="C39" s="26">
        <f>ROUND(366335.06/1000,1)</f>
        <v>366.3</v>
      </c>
      <c r="D39" s="11">
        <v>0</v>
      </c>
      <c r="E39" s="11">
        <v>0</v>
      </c>
      <c r="G39" s="651"/>
      <c r="H39" s="506"/>
    </row>
    <row r="40" spans="1:9" ht="30" x14ac:dyDescent="0.2">
      <c r="A40" s="693" t="s">
        <v>56</v>
      </c>
      <c r="B40" s="695" t="s">
        <v>57</v>
      </c>
      <c r="C40" s="28">
        <f>C41</f>
        <v>1</v>
      </c>
      <c r="D40" s="28">
        <f t="shared" ref="D40:E40" si="5">D41</f>
        <v>1</v>
      </c>
      <c r="E40" s="28">
        <f t="shared" si="5"/>
        <v>1</v>
      </c>
    </row>
    <row r="41" spans="1:9" ht="76.5" x14ac:dyDescent="0.2">
      <c r="A41" s="25" t="s">
        <v>58</v>
      </c>
      <c r="B41" s="10" t="s">
        <v>59</v>
      </c>
      <c r="C41" s="26">
        <f t="shared" ref="C41:E42" si="6">C42</f>
        <v>1</v>
      </c>
      <c r="D41" s="26">
        <f t="shared" si="6"/>
        <v>1</v>
      </c>
      <c r="E41" s="26">
        <f t="shared" si="6"/>
        <v>1</v>
      </c>
    </row>
    <row r="42" spans="1:9" ht="89.25" x14ac:dyDescent="0.2">
      <c r="A42" s="25" t="s">
        <v>60</v>
      </c>
      <c r="B42" s="10" t="s">
        <v>61</v>
      </c>
      <c r="C42" s="26">
        <f t="shared" si="6"/>
        <v>1</v>
      </c>
      <c r="D42" s="26">
        <f t="shared" si="6"/>
        <v>1</v>
      </c>
      <c r="E42" s="26">
        <f t="shared" si="6"/>
        <v>1</v>
      </c>
    </row>
    <row r="43" spans="1:9" ht="89.25" x14ac:dyDescent="0.2">
      <c r="A43" s="18" t="s">
        <v>62</v>
      </c>
      <c r="B43" s="10" t="s">
        <v>63</v>
      </c>
      <c r="C43" s="26">
        <f>РасчетДоходов!F184</f>
        <v>1</v>
      </c>
      <c r="D43" s="11">
        <f>C43</f>
        <v>1</v>
      </c>
      <c r="E43" s="11">
        <f>C43</f>
        <v>1</v>
      </c>
    </row>
    <row r="44" spans="1:9" ht="25.5" hidden="1" x14ac:dyDescent="0.2">
      <c r="A44" s="30" t="s">
        <v>64</v>
      </c>
      <c r="B44" s="31" t="s">
        <v>65</v>
      </c>
      <c r="C44" s="28">
        <f t="shared" ref="C44:E45" si="7">C45</f>
        <v>0</v>
      </c>
      <c r="D44" s="28">
        <f t="shared" si="7"/>
        <v>0</v>
      </c>
      <c r="E44" s="28">
        <f t="shared" si="7"/>
        <v>0</v>
      </c>
    </row>
    <row r="45" spans="1:9" ht="60" hidden="1" x14ac:dyDescent="0.2">
      <c r="A45" s="32" t="s">
        <v>66</v>
      </c>
      <c r="B45" s="33" t="s">
        <v>67</v>
      </c>
      <c r="C45" s="26">
        <f t="shared" si="7"/>
        <v>0</v>
      </c>
      <c r="D45" s="26">
        <f t="shared" si="7"/>
        <v>0</v>
      </c>
      <c r="E45" s="26">
        <f t="shared" si="7"/>
        <v>0</v>
      </c>
    </row>
    <row r="46" spans="1:9" ht="96" hidden="1" x14ac:dyDescent="0.2">
      <c r="A46" s="32" t="s">
        <v>68</v>
      </c>
      <c r="B46" s="34" t="s">
        <v>69</v>
      </c>
      <c r="C46" s="26">
        <f>ROUND(0/1000,1)</f>
        <v>0</v>
      </c>
      <c r="D46" s="11">
        <v>0</v>
      </c>
      <c r="E46" s="11">
        <v>0</v>
      </c>
      <c r="G46" s="1050" t="s">
        <v>378</v>
      </c>
      <c r="H46" s="1050"/>
      <c r="I46" s="139"/>
    </row>
    <row r="47" spans="1:9" ht="24.75" customHeight="1" thickBot="1" x14ac:dyDescent="0.25">
      <c r="A47" s="689" t="s">
        <v>70</v>
      </c>
      <c r="B47" s="696" t="s">
        <v>71</v>
      </c>
      <c r="C47" s="13">
        <f>C48+C90+C94</f>
        <v>23506.5</v>
      </c>
      <c r="D47" s="13">
        <f>D48+D90+D94</f>
        <v>21723.5</v>
      </c>
      <c r="E47" s="13">
        <f>E48+E90+E94</f>
        <v>21769.5</v>
      </c>
    </row>
    <row r="48" spans="1:9" ht="46.5" thickTop="1" thickBot="1" x14ac:dyDescent="0.25">
      <c r="A48" s="689" t="s">
        <v>72</v>
      </c>
      <c r="B48" s="596" t="s">
        <v>73</v>
      </c>
      <c r="C48" s="28">
        <f>C49+C56+C60+C66</f>
        <v>23506.5</v>
      </c>
      <c r="D48" s="28">
        <f>D49+D56+D60+D66</f>
        <v>21723.5</v>
      </c>
      <c r="E48" s="28">
        <f>E49+E56+E60+E66</f>
        <v>21769.5</v>
      </c>
    </row>
    <row r="49" spans="1:14" ht="30" x14ac:dyDescent="0.2">
      <c r="A49" s="689" t="s">
        <v>594</v>
      </c>
      <c r="B49" s="12" t="s">
        <v>74</v>
      </c>
      <c r="C49" s="13">
        <f>C50+C52+C54</f>
        <v>10985.5</v>
      </c>
      <c r="D49" s="13">
        <f>D50+D52+D54</f>
        <v>10605.5</v>
      </c>
      <c r="E49" s="13">
        <f>E50+E52+E54</f>
        <v>10548.3</v>
      </c>
    </row>
    <row r="50" spans="1:14" x14ac:dyDescent="0.2">
      <c r="A50" s="23" t="s">
        <v>595</v>
      </c>
      <c r="B50" s="24" t="s">
        <v>75</v>
      </c>
      <c r="C50" s="35">
        <f>C51</f>
        <v>2032.2</v>
      </c>
      <c r="D50" s="20">
        <f>D51</f>
        <v>1796.8</v>
      </c>
      <c r="E50" s="20">
        <f>E51</f>
        <v>1796.8</v>
      </c>
    </row>
    <row r="51" spans="1:14" ht="38.25" x14ac:dyDescent="0.2">
      <c r="A51" s="18" t="s">
        <v>596</v>
      </c>
      <c r="B51" s="37" t="s">
        <v>891</v>
      </c>
      <c r="C51" s="42">
        <v>2032.2</v>
      </c>
      <c r="D51" s="36">
        <v>1796.8</v>
      </c>
      <c r="E51" s="36">
        <v>1796.8</v>
      </c>
    </row>
    <row r="52" spans="1:14" ht="38.25" x14ac:dyDescent="0.2">
      <c r="A52" s="23" t="s">
        <v>892</v>
      </c>
      <c r="B52" s="24" t="s">
        <v>893</v>
      </c>
      <c r="C52" s="35">
        <f>C53</f>
        <v>2158.9</v>
      </c>
      <c r="D52" s="20">
        <f>D53</f>
        <v>2376.4</v>
      </c>
      <c r="E52" s="20">
        <f>E53</f>
        <v>2602.8000000000002</v>
      </c>
    </row>
    <row r="53" spans="1:14" ht="38.25" x14ac:dyDescent="0.2">
      <c r="A53" s="18" t="s">
        <v>894</v>
      </c>
      <c r="B53" s="37" t="s">
        <v>895</v>
      </c>
      <c r="C53" s="42">
        <v>2158.9</v>
      </c>
      <c r="D53" s="36">
        <v>2376.4</v>
      </c>
      <c r="E53" s="36">
        <v>2602.8000000000002</v>
      </c>
    </row>
    <row r="54" spans="1:14" x14ac:dyDescent="0.2">
      <c r="A54" s="592" t="s">
        <v>597</v>
      </c>
      <c r="B54" s="944" t="s">
        <v>76</v>
      </c>
      <c r="C54" s="593">
        <f>C55</f>
        <v>6794.4</v>
      </c>
      <c r="D54" s="576">
        <f>D55</f>
        <v>6432.3</v>
      </c>
      <c r="E54" s="576">
        <f>E55</f>
        <v>6148.7</v>
      </c>
    </row>
    <row r="55" spans="1:14" x14ac:dyDescent="0.2">
      <c r="A55" s="25" t="s">
        <v>598</v>
      </c>
      <c r="B55" s="945" t="s">
        <v>779</v>
      </c>
      <c r="C55" s="26">
        <v>6794.4</v>
      </c>
      <c r="D55" s="11">
        <v>6432.3</v>
      </c>
      <c r="E55" s="11">
        <v>6148.7</v>
      </c>
      <c r="F55" s="39"/>
      <c r="G55" s="651"/>
      <c r="J55" s="959"/>
      <c r="K55" s="959"/>
      <c r="L55" s="959"/>
      <c r="M55" s="959"/>
      <c r="N55" s="960"/>
    </row>
    <row r="56" spans="1:14" ht="45" hidden="1" x14ac:dyDescent="0.2">
      <c r="A56" s="547" t="s">
        <v>629</v>
      </c>
      <c r="B56" s="546" t="s">
        <v>627</v>
      </c>
      <c r="C56" s="28">
        <f>C57</f>
        <v>0</v>
      </c>
      <c r="D56" s="28">
        <f t="shared" ref="D56:E58" si="8">D57</f>
        <v>0</v>
      </c>
      <c r="E56" s="28">
        <f t="shared" si="8"/>
        <v>0</v>
      </c>
      <c r="F56" s="39"/>
      <c r="G56" s="507"/>
      <c r="H56" s="39"/>
      <c r="I56" s="39"/>
      <c r="J56" s="39"/>
    </row>
    <row r="57" spans="1:14" hidden="1" x14ac:dyDescent="0.2">
      <c r="A57" s="590" t="s">
        <v>625</v>
      </c>
      <c r="B57" s="591" t="s">
        <v>626</v>
      </c>
      <c r="C57" s="93">
        <f>C58</f>
        <v>0</v>
      </c>
      <c r="D57" s="93">
        <f t="shared" si="8"/>
        <v>0</v>
      </c>
      <c r="E57" s="93">
        <f t="shared" si="8"/>
        <v>0</v>
      </c>
      <c r="F57" s="39"/>
      <c r="G57" s="507"/>
      <c r="H57" s="39"/>
      <c r="I57" s="39"/>
      <c r="J57" s="39"/>
    </row>
    <row r="58" spans="1:14" hidden="1" x14ac:dyDescent="0.2">
      <c r="A58" s="548" t="s">
        <v>630</v>
      </c>
      <c r="B58" s="599" t="s">
        <v>628</v>
      </c>
      <c r="C58" s="26">
        <f>C59</f>
        <v>0</v>
      </c>
      <c r="D58" s="11">
        <f t="shared" si="8"/>
        <v>0</v>
      </c>
      <c r="E58" s="11">
        <f t="shared" si="8"/>
        <v>0</v>
      </c>
      <c r="F58" s="39"/>
      <c r="I58" s="39"/>
      <c r="J58" s="39"/>
    </row>
    <row r="59" spans="1:14" s="39" customFormat="1" ht="76.5" hidden="1" x14ac:dyDescent="0.2">
      <c r="A59" s="682" t="s">
        <v>630</v>
      </c>
      <c r="B59" s="683" t="s">
        <v>609</v>
      </c>
      <c r="C59" s="681">
        <v>0</v>
      </c>
      <c r="D59" s="434">
        <v>0</v>
      </c>
      <c r="E59" s="434">
        <v>0</v>
      </c>
      <c r="G59" s="651"/>
      <c r="H59" s="600"/>
    </row>
    <row r="60" spans="1:14" ht="30.75" thickBot="1" x14ac:dyDescent="0.25">
      <c r="A60" s="40" t="s">
        <v>780</v>
      </c>
      <c r="B60" s="596" t="s">
        <v>77</v>
      </c>
      <c r="C60" s="41">
        <f>C61+C64</f>
        <v>117.4</v>
      </c>
      <c r="D60" s="41">
        <f>D61+D64</f>
        <v>112.7</v>
      </c>
      <c r="E60" s="41">
        <f>E61+E64</f>
        <v>113.6</v>
      </c>
    </row>
    <row r="61" spans="1:14" ht="45" x14ac:dyDescent="0.2">
      <c r="A61" s="7" t="s">
        <v>599</v>
      </c>
      <c r="B61" s="12" t="s">
        <v>78</v>
      </c>
      <c r="C61" s="595">
        <f t="shared" ref="C61:E62" si="9">C62</f>
        <v>55</v>
      </c>
      <c r="D61" s="595">
        <f t="shared" si="9"/>
        <v>55</v>
      </c>
      <c r="E61" s="595">
        <f t="shared" si="9"/>
        <v>55</v>
      </c>
    </row>
    <row r="62" spans="1:14" ht="38.25" x14ac:dyDescent="0.2">
      <c r="A62" s="18" t="s">
        <v>600</v>
      </c>
      <c r="B62" s="21" t="s">
        <v>79</v>
      </c>
      <c r="C62" s="42">
        <f t="shared" si="9"/>
        <v>55</v>
      </c>
      <c r="D62" s="26">
        <f t="shared" si="9"/>
        <v>55</v>
      </c>
      <c r="E62" s="26">
        <f t="shared" si="9"/>
        <v>55</v>
      </c>
    </row>
    <row r="63" spans="1:14" ht="51" x14ac:dyDescent="0.2">
      <c r="A63" s="18" t="s">
        <v>600</v>
      </c>
      <c r="B63" s="43" t="s">
        <v>80</v>
      </c>
      <c r="C63" s="42">
        <f>ROUND((55000)/1000,1)</f>
        <v>55</v>
      </c>
      <c r="D63" s="42">
        <f>ROUND((55000)/1000,1)</f>
        <v>55</v>
      </c>
      <c r="E63" s="42">
        <f>ROUND((55000)/1000,1)</f>
        <v>55</v>
      </c>
      <c r="G63" s="600"/>
    </row>
    <row r="64" spans="1:14" ht="45" x14ac:dyDescent="0.2">
      <c r="A64" s="87" t="s">
        <v>601</v>
      </c>
      <c r="B64" s="12" t="s">
        <v>81</v>
      </c>
      <c r="C64" s="595">
        <f>C65</f>
        <v>62.4</v>
      </c>
      <c r="D64" s="595">
        <f>D65</f>
        <v>57.7</v>
      </c>
      <c r="E64" s="595">
        <f>E65</f>
        <v>58.6</v>
      </c>
    </row>
    <row r="65" spans="1:9" ht="38.25" x14ac:dyDescent="0.2">
      <c r="A65" s="18" t="s">
        <v>602</v>
      </c>
      <c r="B65" s="21" t="s">
        <v>82</v>
      </c>
      <c r="C65" s="26">
        <f>59.1-1.2+4.5</f>
        <v>62.4</v>
      </c>
      <c r="D65" s="26">
        <f>59.1-1.4</f>
        <v>57.7</v>
      </c>
      <c r="E65" s="26">
        <f>59.1-0.5</f>
        <v>58.6</v>
      </c>
      <c r="G65" s="1016">
        <v>4.5</v>
      </c>
      <c r="H65" s="1" t="s">
        <v>936</v>
      </c>
    </row>
    <row r="66" spans="1:9" ht="15.75" thickBot="1" x14ac:dyDescent="0.25">
      <c r="A66" s="697" t="s">
        <v>781</v>
      </c>
      <c r="B66" s="692" t="s">
        <v>83</v>
      </c>
      <c r="C66" s="41">
        <f>C67+C71</f>
        <v>12403.6</v>
      </c>
      <c r="D66" s="28">
        <f>D67+D71</f>
        <v>11005.300000000001</v>
      </c>
      <c r="E66" s="28">
        <f>E67+E71</f>
        <v>11107.600000000002</v>
      </c>
    </row>
    <row r="67" spans="1:9" ht="75" x14ac:dyDescent="0.2">
      <c r="A67" s="689" t="s">
        <v>603</v>
      </c>
      <c r="B67" s="12" t="s">
        <v>84</v>
      </c>
      <c r="C67" s="595">
        <f>C68</f>
        <v>10.8</v>
      </c>
      <c r="D67" s="593">
        <f>D68</f>
        <v>11.2</v>
      </c>
      <c r="E67" s="593">
        <f>E68</f>
        <v>11.6</v>
      </c>
    </row>
    <row r="68" spans="1:9" ht="78" customHeight="1" x14ac:dyDescent="0.2">
      <c r="A68" s="18" t="s">
        <v>604</v>
      </c>
      <c r="B68" s="21" t="s">
        <v>85</v>
      </c>
      <c r="C68" s="42">
        <f>C69</f>
        <v>10.8</v>
      </c>
      <c r="D68" s="42">
        <f t="shared" ref="D68:E68" si="10">D69</f>
        <v>11.2</v>
      </c>
      <c r="E68" s="42">
        <f t="shared" si="10"/>
        <v>11.6</v>
      </c>
    </row>
    <row r="69" spans="1:9" ht="51" x14ac:dyDescent="0.2">
      <c r="A69" s="25" t="s">
        <v>604</v>
      </c>
      <c r="B69" s="43" t="s">
        <v>897</v>
      </c>
      <c r="C69" s="42">
        <f>C70</f>
        <v>10.8</v>
      </c>
      <c r="D69" s="42">
        <f>D70</f>
        <v>11.2</v>
      </c>
      <c r="E69" s="42">
        <f>E70</f>
        <v>11.6</v>
      </c>
      <c r="H69" s="948" t="s">
        <v>896</v>
      </c>
    </row>
    <row r="70" spans="1:9" ht="38.25" x14ac:dyDescent="0.2">
      <c r="A70" s="25" t="s">
        <v>604</v>
      </c>
      <c r="B70" s="44" t="s">
        <v>86</v>
      </c>
      <c r="C70" s="42">
        <v>10.8</v>
      </c>
      <c r="D70" s="42">
        <v>11.2</v>
      </c>
      <c r="E70" s="42">
        <v>11.6</v>
      </c>
    </row>
    <row r="71" spans="1:9" ht="30" x14ac:dyDescent="0.2">
      <c r="A71" s="693" t="s">
        <v>605</v>
      </c>
      <c r="B71" s="38" t="s">
        <v>87</v>
      </c>
      <c r="C71" s="595">
        <f>C72</f>
        <v>12392.800000000001</v>
      </c>
      <c r="D71" s="595">
        <f>D72</f>
        <v>10994.1</v>
      </c>
      <c r="E71" s="595">
        <f>E72</f>
        <v>11096.000000000002</v>
      </c>
    </row>
    <row r="72" spans="1:9" s="39" customFormat="1" ht="25.5" x14ac:dyDescent="0.2">
      <c r="A72" s="25" t="s">
        <v>606</v>
      </c>
      <c r="B72" s="45" t="s">
        <v>88</v>
      </c>
      <c r="C72" s="42">
        <f>C73+C76+C78+C80+C85+C89</f>
        <v>12392.800000000001</v>
      </c>
      <c r="D72" s="42">
        <f>D73+D76+D78+D80+D85+D89</f>
        <v>10994.1</v>
      </c>
      <c r="E72" s="42">
        <f>E73+E76+E78+E80+E85+E89</f>
        <v>11096.000000000002</v>
      </c>
    </row>
    <row r="73" spans="1:9" s="39" customFormat="1" ht="51" x14ac:dyDescent="0.2">
      <c r="A73" s="25" t="s">
        <v>606</v>
      </c>
      <c r="B73" s="43" t="s">
        <v>897</v>
      </c>
      <c r="C73" s="42">
        <f>SUM(C74:C75)</f>
        <v>222.39999999999998</v>
      </c>
      <c r="D73" s="42">
        <f>SUM(D74:D75)</f>
        <v>226.5</v>
      </c>
      <c r="E73" s="42">
        <f>SUM(E74:E75)</f>
        <v>230.8</v>
      </c>
      <c r="H73" s="948" t="s">
        <v>896</v>
      </c>
    </row>
    <row r="74" spans="1:9" s="39" customFormat="1" ht="25.5" x14ac:dyDescent="0.2">
      <c r="A74" s="25" t="s">
        <v>606</v>
      </c>
      <c r="B74" s="44" t="s">
        <v>610</v>
      </c>
      <c r="C74" s="26">
        <v>120.1</v>
      </c>
      <c r="D74" s="26">
        <v>120.1</v>
      </c>
      <c r="E74" s="26">
        <v>120.1</v>
      </c>
    </row>
    <row r="75" spans="1:9" s="39" customFormat="1" ht="63.75" customHeight="1" x14ac:dyDescent="0.2">
      <c r="A75" s="25" t="s">
        <v>606</v>
      </c>
      <c r="B75" s="44" t="s">
        <v>607</v>
      </c>
      <c r="C75" s="26">
        <v>102.3</v>
      </c>
      <c r="D75" s="26">
        <v>106.4</v>
      </c>
      <c r="E75" s="26">
        <v>110.7</v>
      </c>
    </row>
    <row r="76" spans="1:9" ht="76.5" x14ac:dyDescent="0.2">
      <c r="A76" s="25" t="s">
        <v>606</v>
      </c>
      <c r="B76" s="43" t="s">
        <v>585</v>
      </c>
      <c r="C76" s="26">
        <f>C77</f>
        <v>5263.6</v>
      </c>
      <c r="D76" s="26">
        <f>D77</f>
        <v>3805.2</v>
      </c>
      <c r="E76" s="26">
        <f>E77</f>
        <v>3957.4</v>
      </c>
      <c r="F76" s="39"/>
      <c r="H76" s="39"/>
      <c r="I76" s="39"/>
    </row>
    <row r="77" spans="1:9" ht="76.5" x14ac:dyDescent="0.2">
      <c r="A77" s="25" t="s">
        <v>606</v>
      </c>
      <c r="B77" s="44" t="s">
        <v>89</v>
      </c>
      <c r="C77" s="26">
        <f>3658.9+1604.7</f>
        <v>5263.6</v>
      </c>
      <c r="D77" s="26">
        <v>3805.2</v>
      </c>
      <c r="E77" s="26">
        <v>3957.4</v>
      </c>
      <c r="F77" s="39"/>
      <c r="H77" s="39"/>
      <c r="I77" s="39"/>
    </row>
    <row r="78" spans="1:9" ht="89.25" x14ac:dyDescent="0.2">
      <c r="A78" s="25" t="s">
        <v>606</v>
      </c>
      <c r="B78" s="43" t="s">
        <v>584</v>
      </c>
      <c r="C78" s="26">
        <f>C79</f>
        <v>22.8</v>
      </c>
      <c r="D78" s="26">
        <f t="shared" ref="D78:E78" si="11">D79</f>
        <v>23.7</v>
      </c>
      <c r="E78" s="26">
        <f t="shared" si="11"/>
        <v>24.6</v>
      </c>
      <c r="F78" s="39"/>
      <c r="H78" s="39"/>
      <c r="I78" s="39"/>
    </row>
    <row r="79" spans="1:9" ht="63.75" x14ac:dyDescent="0.2">
      <c r="A79" s="25" t="s">
        <v>606</v>
      </c>
      <c r="B79" s="44" t="s">
        <v>586</v>
      </c>
      <c r="C79" s="26">
        <v>22.8</v>
      </c>
      <c r="D79" s="26">
        <v>23.7</v>
      </c>
      <c r="E79" s="26">
        <v>24.6</v>
      </c>
      <c r="F79" s="39"/>
      <c r="G79" s="651"/>
      <c r="H79" s="652"/>
      <c r="I79" s="652"/>
    </row>
    <row r="80" spans="1:9" ht="89.25" x14ac:dyDescent="0.2">
      <c r="A80" s="25" t="s">
        <v>606</v>
      </c>
      <c r="B80" s="43" t="s">
        <v>90</v>
      </c>
      <c r="C80" s="26">
        <f>SUM(C81:C84)</f>
        <v>720.90000000000009</v>
      </c>
      <c r="D80" s="26">
        <f t="shared" ref="D80:E80" si="12">SUM(D81:D84)</f>
        <v>806.4</v>
      </c>
      <c r="E80" s="26">
        <f t="shared" si="12"/>
        <v>837.90000000000009</v>
      </c>
      <c r="F80" s="39"/>
      <c r="H80" s="39"/>
      <c r="I80" s="39"/>
    </row>
    <row r="81" spans="1:14" x14ac:dyDescent="0.2">
      <c r="A81" s="25" t="s">
        <v>606</v>
      </c>
      <c r="B81" s="47" t="s">
        <v>92</v>
      </c>
      <c r="C81" s="26">
        <f>490.1-1.5</f>
        <v>488.6</v>
      </c>
      <c r="D81" s="26">
        <f>515.4-17.5</f>
        <v>497.9</v>
      </c>
      <c r="E81" s="26">
        <f>536-18.9</f>
        <v>517.1</v>
      </c>
      <c r="F81" s="39"/>
      <c r="H81" s="39"/>
      <c r="I81" s="39"/>
    </row>
    <row r="82" spans="1:14" x14ac:dyDescent="0.2">
      <c r="A82" s="25" t="s">
        <v>606</v>
      </c>
      <c r="B82" s="44" t="s">
        <v>91</v>
      </c>
      <c r="C82" s="26">
        <f>296.6-64.3</f>
        <v>232.3</v>
      </c>
      <c r="D82" s="26">
        <v>308.5</v>
      </c>
      <c r="E82" s="26">
        <v>320.8</v>
      </c>
      <c r="F82" s="39"/>
      <c r="G82" s="53"/>
      <c r="H82" s="39"/>
      <c r="I82" s="39"/>
    </row>
    <row r="83" spans="1:14" ht="25.5" x14ac:dyDescent="0.2">
      <c r="A83" s="679" t="s">
        <v>606</v>
      </c>
      <c r="B83" s="680" t="s">
        <v>758</v>
      </c>
      <c r="C83" s="681">
        <v>0</v>
      </c>
      <c r="D83" s="681">
        <v>0</v>
      </c>
      <c r="E83" s="681">
        <v>0</v>
      </c>
      <c r="F83" s="39"/>
      <c r="G83" s="651"/>
      <c r="H83" s="39"/>
      <c r="I83" s="39"/>
    </row>
    <row r="84" spans="1:14" ht="38.25" x14ac:dyDescent="0.2">
      <c r="A84" s="679" t="s">
        <v>606</v>
      </c>
      <c r="B84" s="680" t="s">
        <v>759</v>
      </c>
      <c r="C84" s="681">
        <v>0</v>
      </c>
      <c r="D84" s="681">
        <v>0</v>
      </c>
      <c r="E84" s="681">
        <v>0</v>
      </c>
      <c r="F84" s="39"/>
      <c r="H84" s="39"/>
      <c r="I84" s="39"/>
    </row>
    <row r="85" spans="1:14" ht="102" x14ac:dyDescent="0.2">
      <c r="A85" s="25" t="s">
        <v>606</v>
      </c>
      <c r="B85" s="43" t="s">
        <v>93</v>
      </c>
      <c r="C85" s="26">
        <f>SUM(C86:C88)</f>
        <v>6114.4</v>
      </c>
      <c r="D85" s="26">
        <f t="shared" ref="D85:E85" si="13">SUM(D86:D88)</f>
        <v>6081.7</v>
      </c>
      <c r="E85" s="26">
        <f t="shared" si="13"/>
        <v>5992.7</v>
      </c>
      <c r="F85" s="39"/>
      <c r="H85" s="39"/>
      <c r="I85" s="39"/>
    </row>
    <row r="86" spans="1:14" ht="25.5" x14ac:dyDescent="0.2">
      <c r="A86" s="25" t="s">
        <v>606</v>
      </c>
      <c r="B86" s="44" t="s">
        <v>94</v>
      </c>
      <c r="C86" s="26">
        <f>2945.2+283.8</f>
        <v>3229</v>
      </c>
      <c r="D86" s="26">
        <f>3056.7-60.4</f>
        <v>2996.2999999999997</v>
      </c>
      <c r="E86" s="26">
        <f>3172.2-64.9</f>
        <v>3107.2999999999997</v>
      </c>
      <c r="F86" s="39"/>
      <c r="I86" s="959"/>
      <c r="J86" s="959"/>
      <c r="K86" s="959"/>
      <c r="L86" s="959"/>
      <c r="M86" s="959"/>
      <c r="N86" s="1017"/>
    </row>
    <row r="87" spans="1:14" ht="38.25" x14ac:dyDescent="0.2">
      <c r="A87" s="25" t="s">
        <v>606</v>
      </c>
      <c r="B87" s="44" t="s">
        <v>782</v>
      </c>
      <c r="C87" s="26">
        <v>2885.4</v>
      </c>
      <c r="D87" s="26">
        <v>2885.4</v>
      </c>
      <c r="E87" s="26">
        <v>2885.4</v>
      </c>
      <c r="F87" s="39"/>
      <c r="I87" s="959"/>
      <c r="J87" s="959"/>
      <c r="K87" s="959"/>
      <c r="L87" s="959"/>
      <c r="M87" s="959"/>
      <c r="N87" s="1017"/>
    </row>
    <row r="88" spans="1:14" ht="51" x14ac:dyDescent="0.2">
      <c r="A88" s="25" t="s">
        <v>606</v>
      </c>
      <c r="B88" s="44" t="s">
        <v>760</v>
      </c>
      <c r="C88" s="26">
        <v>0</v>
      </c>
      <c r="D88" s="26">
        <v>200</v>
      </c>
      <c r="E88" s="26">
        <v>0</v>
      </c>
      <c r="F88" s="39"/>
      <c r="H88" s="39"/>
      <c r="I88" s="39"/>
    </row>
    <row r="89" spans="1:14" s="39" customFormat="1" ht="25.5" x14ac:dyDescent="0.2">
      <c r="A89" s="25" t="s">
        <v>606</v>
      </c>
      <c r="B89" s="49" t="s">
        <v>783</v>
      </c>
      <c r="C89" s="26">
        <v>48.7</v>
      </c>
      <c r="D89" s="26">
        <v>50.6</v>
      </c>
      <c r="E89" s="26">
        <v>52.6</v>
      </c>
    </row>
    <row r="90" spans="1:14" s="39" customFormat="1" ht="75.75" hidden="1" thickBot="1" x14ac:dyDescent="0.25">
      <c r="A90" s="40" t="s">
        <v>673</v>
      </c>
      <c r="B90" s="596" t="s">
        <v>678</v>
      </c>
      <c r="C90" s="597">
        <f>C91</f>
        <v>0</v>
      </c>
      <c r="D90" s="597">
        <f t="shared" ref="D90:E95" si="14">D91</f>
        <v>0</v>
      </c>
      <c r="E90" s="597">
        <f t="shared" si="14"/>
        <v>0</v>
      </c>
    </row>
    <row r="91" spans="1:14" s="39" customFormat="1" ht="89.25" hidden="1" x14ac:dyDescent="0.2">
      <c r="A91" s="592" t="s">
        <v>674</v>
      </c>
      <c r="B91" s="594" t="s">
        <v>679</v>
      </c>
      <c r="C91" s="598">
        <f>C92</f>
        <v>0</v>
      </c>
      <c r="D91" s="598">
        <f t="shared" si="14"/>
        <v>0</v>
      </c>
      <c r="E91" s="598">
        <f t="shared" si="14"/>
        <v>0</v>
      </c>
    </row>
    <row r="92" spans="1:14" s="39" customFormat="1" ht="76.5" hidden="1" x14ac:dyDescent="0.2">
      <c r="A92" s="18" t="s">
        <v>675</v>
      </c>
      <c r="B92" s="21" t="s">
        <v>680</v>
      </c>
      <c r="C92" s="42">
        <f>C93</f>
        <v>0</v>
      </c>
      <c r="D92" s="42">
        <f t="shared" si="14"/>
        <v>0</v>
      </c>
      <c r="E92" s="42">
        <f t="shared" si="14"/>
        <v>0</v>
      </c>
    </row>
    <row r="93" spans="1:14" s="39" customFormat="1" ht="51" hidden="1" x14ac:dyDescent="0.2">
      <c r="A93" s="682" t="s">
        <v>676</v>
      </c>
      <c r="B93" s="683" t="s">
        <v>677</v>
      </c>
      <c r="C93" s="434">
        <v>0</v>
      </c>
      <c r="D93" s="681">
        <v>0</v>
      </c>
      <c r="E93" s="681">
        <v>0</v>
      </c>
    </row>
    <row r="94" spans="1:14" s="39" customFormat="1" ht="45.75" hidden="1" thickBot="1" x14ac:dyDescent="0.25">
      <c r="A94" s="40" t="s">
        <v>689</v>
      </c>
      <c r="B94" s="596" t="s">
        <v>690</v>
      </c>
      <c r="C94" s="597">
        <f>C95</f>
        <v>0</v>
      </c>
      <c r="D94" s="597">
        <f t="shared" si="14"/>
        <v>0</v>
      </c>
      <c r="E94" s="597">
        <f t="shared" si="14"/>
        <v>0</v>
      </c>
    </row>
    <row r="95" spans="1:14" s="39" customFormat="1" ht="51" hidden="1" x14ac:dyDescent="0.2">
      <c r="A95" s="18" t="s">
        <v>692</v>
      </c>
      <c r="B95" s="45" t="s">
        <v>691</v>
      </c>
      <c r="C95" s="11">
        <f>C96</f>
        <v>0</v>
      </c>
      <c r="D95" s="26">
        <f t="shared" si="14"/>
        <v>0</v>
      </c>
      <c r="E95" s="26">
        <f t="shared" si="14"/>
        <v>0</v>
      </c>
    </row>
    <row r="96" spans="1:14" s="39" customFormat="1" ht="51" hidden="1" x14ac:dyDescent="0.2">
      <c r="A96" s="682" t="s">
        <v>693</v>
      </c>
      <c r="B96" s="683" t="s">
        <v>694</v>
      </c>
      <c r="C96" s="681">
        <f>ROUND((0)/1000,1)</f>
        <v>0</v>
      </c>
      <c r="D96" s="434">
        <v>0</v>
      </c>
      <c r="E96" s="434">
        <v>0</v>
      </c>
      <c r="F96" s="1"/>
      <c r="G96" s="651"/>
    </row>
    <row r="97" spans="1:5" s="39" customFormat="1" x14ac:dyDescent="0.2">
      <c r="A97" s="50"/>
      <c r="B97" s="51" t="s">
        <v>96</v>
      </c>
      <c r="C97" s="35">
        <f>C7</f>
        <v>30236.400000000001</v>
      </c>
      <c r="D97" s="35">
        <f>D7</f>
        <v>28242.7</v>
      </c>
      <c r="E97" s="35">
        <f>E7</f>
        <v>28562.6</v>
      </c>
    </row>
    <row r="98" spans="1:5" s="39" customFormat="1" x14ac:dyDescent="0.2"/>
    <row r="99" spans="1:5" s="39" customFormat="1" x14ac:dyDescent="0.2">
      <c r="B99" s="52"/>
      <c r="C99" s="52"/>
      <c r="D99" s="52"/>
    </row>
    <row r="100" spans="1:5" s="39" customFormat="1" x14ac:dyDescent="0.2">
      <c r="B100" s="53"/>
      <c r="C100" s="53"/>
      <c r="D100" s="53"/>
    </row>
    <row r="101" spans="1:5" s="39" customFormat="1" x14ac:dyDescent="0.2">
      <c r="B101" s="54"/>
      <c r="C101" s="53"/>
      <c r="D101" s="53"/>
    </row>
    <row r="102" spans="1:5" x14ac:dyDescent="0.2">
      <c r="A102" s="55"/>
    </row>
    <row r="103" spans="1:5" x14ac:dyDescent="0.2">
      <c r="A103" s="55"/>
    </row>
    <row r="104" spans="1:5" x14ac:dyDescent="0.2">
      <c r="A104" s="55"/>
    </row>
    <row r="105" spans="1:5" x14ac:dyDescent="0.2">
      <c r="A105" s="55"/>
    </row>
    <row r="106" spans="1:5" x14ac:dyDescent="0.2">
      <c r="A106" s="55"/>
    </row>
    <row r="107" spans="1:5" x14ac:dyDescent="0.2">
      <c r="A107" s="55"/>
    </row>
    <row r="108" spans="1:5" x14ac:dyDescent="0.2">
      <c r="A108" s="55"/>
    </row>
    <row r="109" spans="1:5" x14ac:dyDescent="0.2">
      <c r="A109" s="55"/>
    </row>
    <row r="110" spans="1:5" x14ac:dyDescent="0.2">
      <c r="A110" s="55"/>
    </row>
    <row r="111" spans="1:5" x14ac:dyDescent="0.2">
      <c r="A111" s="55"/>
    </row>
    <row r="112" spans="1:5" x14ac:dyDescent="0.2">
      <c r="A112" s="55"/>
    </row>
    <row r="113" spans="1:1" x14ac:dyDescent="0.2">
      <c r="A113" s="55"/>
    </row>
  </sheetData>
  <mergeCells count="9">
    <mergeCell ref="G46:H46"/>
    <mergeCell ref="C1:E1"/>
    <mergeCell ref="A2:E2"/>
    <mergeCell ref="A3:E3"/>
    <mergeCell ref="A5:A6"/>
    <mergeCell ref="B5:B6"/>
    <mergeCell ref="C5:C6"/>
    <mergeCell ref="D5:E5"/>
    <mergeCell ref="A4:E4"/>
  </mergeCells>
  <pageMargins left="0.70866141732283472" right="0.11811023622047245" top="0.74803149606299213" bottom="0.74803149606299213" header="0.31496062992125984" footer="0.31496062992125984"/>
  <pageSetup paperSize="9" scale="85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67"/>
  <sheetViews>
    <sheetView showZeros="0" topLeftCell="A19" workbookViewId="0">
      <selection activeCell="I29" sqref="I29:I31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4" width="9.140625" style="789"/>
    <col min="255" max="255" width="49.42578125" style="789" customWidth="1"/>
    <col min="256" max="257" width="3.5703125" style="789" customWidth="1"/>
    <col min="258" max="258" width="11.42578125" style="789" customWidth="1"/>
    <col min="259" max="261" width="5.7109375" style="789" customWidth="1"/>
    <col min="262" max="262" width="9" style="789" customWidth="1"/>
    <col min="263" max="263" width="18.7109375" style="789" customWidth="1"/>
    <col min="264" max="510" width="9.140625" style="789"/>
    <col min="511" max="511" width="49.42578125" style="789" customWidth="1"/>
    <col min="512" max="513" width="3.5703125" style="789" customWidth="1"/>
    <col min="514" max="514" width="11.42578125" style="789" customWidth="1"/>
    <col min="515" max="517" width="5.7109375" style="789" customWidth="1"/>
    <col min="518" max="518" width="9" style="789" customWidth="1"/>
    <col min="519" max="519" width="18.7109375" style="789" customWidth="1"/>
    <col min="520" max="766" width="9.140625" style="789"/>
    <col min="767" max="767" width="49.42578125" style="789" customWidth="1"/>
    <col min="768" max="769" width="3.5703125" style="789" customWidth="1"/>
    <col min="770" max="770" width="11.42578125" style="789" customWidth="1"/>
    <col min="771" max="773" width="5.7109375" style="789" customWidth="1"/>
    <col min="774" max="774" width="9" style="789" customWidth="1"/>
    <col min="775" max="775" width="18.7109375" style="789" customWidth="1"/>
    <col min="776" max="1022" width="9.140625" style="789"/>
    <col min="1023" max="1023" width="49.42578125" style="789" customWidth="1"/>
    <col min="1024" max="1025" width="3.5703125" style="789" customWidth="1"/>
    <col min="1026" max="1026" width="11.42578125" style="789" customWidth="1"/>
    <col min="1027" max="1029" width="5.7109375" style="789" customWidth="1"/>
    <col min="1030" max="1030" width="9" style="789" customWidth="1"/>
    <col min="1031" max="1031" width="18.7109375" style="789" customWidth="1"/>
    <col min="1032" max="1278" width="9.140625" style="789"/>
    <col min="1279" max="1279" width="49.42578125" style="789" customWidth="1"/>
    <col min="1280" max="1281" width="3.5703125" style="789" customWidth="1"/>
    <col min="1282" max="1282" width="11.42578125" style="789" customWidth="1"/>
    <col min="1283" max="1285" width="5.7109375" style="789" customWidth="1"/>
    <col min="1286" max="1286" width="9" style="789" customWidth="1"/>
    <col min="1287" max="1287" width="18.7109375" style="789" customWidth="1"/>
    <col min="1288" max="1534" width="9.140625" style="789"/>
    <col min="1535" max="1535" width="49.42578125" style="789" customWidth="1"/>
    <col min="1536" max="1537" width="3.5703125" style="789" customWidth="1"/>
    <col min="1538" max="1538" width="11.42578125" style="789" customWidth="1"/>
    <col min="1539" max="1541" width="5.7109375" style="789" customWidth="1"/>
    <col min="1542" max="1542" width="9" style="789" customWidth="1"/>
    <col min="1543" max="1543" width="18.7109375" style="789" customWidth="1"/>
    <col min="1544" max="1790" width="9.140625" style="789"/>
    <col min="1791" max="1791" width="49.42578125" style="789" customWidth="1"/>
    <col min="1792" max="1793" width="3.5703125" style="789" customWidth="1"/>
    <col min="1794" max="1794" width="11.42578125" style="789" customWidth="1"/>
    <col min="1795" max="1797" width="5.7109375" style="789" customWidth="1"/>
    <col min="1798" max="1798" width="9" style="789" customWidth="1"/>
    <col min="1799" max="1799" width="18.7109375" style="789" customWidth="1"/>
    <col min="1800" max="2046" width="9.140625" style="789"/>
    <col min="2047" max="2047" width="49.42578125" style="789" customWidth="1"/>
    <col min="2048" max="2049" width="3.5703125" style="789" customWidth="1"/>
    <col min="2050" max="2050" width="11.42578125" style="789" customWidth="1"/>
    <col min="2051" max="2053" width="5.7109375" style="789" customWidth="1"/>
    <col min="2054" max="2054" width="9" style="789" customWidth="1"/>
    <col min="2055" max="2055" width="18.7109375" style="789" customWidth="1"/>
    <col min="2056" max="2302" width="9.140625" style="789"/>
    <col min="2303" max="2303" width="49.42578125" style="789" customWidth="1"/>
    <col min="2304" max="2305" width="3.5703125" style="789" customWidth="1"/>
    <col min="2306" max="2306" width="11.42578125" style="789" customWidth="1"/>
    <col min="2307" max="2309" width="5.7109375" style="789" customWidth="1"/>
    <col min="2310" max="2310" width="9" style="789" customWidth="1"/>
    <col min="2311" max="2311" width="18.7109375" style="789" customWidth="1"/>
    <col min="2312" max="2558" width="9.140625" style="789"/>
    <col min="2559" max="2559" width="49.42578125" style="789" customWidth="1"/>
    <col min="2560" max="2561" width="3.5703125" style="789" customWidth="1"/>
    <col min="2562" max="2562" width="11.42578125" style="789" customWidth="1"/>
    <col min="2563" max="2565" width="5.7109375" style="789" customWidth="1"/>
    <col min="2566" max="2566" width="9" style="789" customWidth="1"/>
    <col min="2567" max="2567" width="18.7109375" style="789" customWidth="1"/>
    <col min="2568" max="2814" width="9.140625" style="789"/>
    <col min="2815" max="2815" width="49.42578125" style="789" customWidth="1"/>
    <col min="2816" max="2817" width="3.5703125" style="789" customWidth="1"/>
    <col min="2818" max="2818" width="11.42578125" style="789" customWidth="1"/>
    <col min="2819" max="2821" width="5.7109375" style="789" customWidth="1"/>
    <col min="2822" max="2822" width="9" style="789" customWidth="1"/>
    <col min="2823" max="2823" width="18.7109375" style="789" customWidth="1"/>
    <col min="2824" max="3070" width="9.140625" style="789"/>
    <col min="3071" max="3071" width="49.42578125" style="789" customWidth="1"/>
    <col min="3072" max="3073" width="3.5703125" style="789" customWidth="1"/>
    <col min="3074" max="3074" width="11.42578125" style="789" customWidth="1"/>
    <col min="3075" max="3077" width="5.7109375" style="789" customWidth="1"/>
    <col min="3078" max="3078" width="9" style="789" customWidth="1"/>
    <col min="3079" max="3079" width="18.7109375" style="789" customWidth="1"/>
    <col min="3080" max="3326" width="9.140625" style="789"/>
    <col min="3327" max="3327" width="49.42578125" style="789" customWidth="1"/>
    <col min="3328" max="3329" width="3.5703125" style="789" customWidth="1"/>
    <col min="3330" max="3330" width="11.42578125" style="789" customWidth="1"/>
    <col min="3331" max="3333" width="5.7109375" style="789" customWidth="1"/>
    <col min="3334" max="3334" width="9" style="789" customWidth="1"/>
    <col min="3335" max="3335" width="18.7109375" style="789" customWidth="1"/>
    <col min="3336" max="3582" width="9.140625" style="789"/>
    <col min="3583" max="3583" width="49.42578125" style="789" customWidth="1"/>
    <col min="3584" max="3585" width="3.5703125" style="789" customWidth="1"/>
    <col min="3586" max="3586" width="11.42578125" style="789" customWidth="1"/>
    <col min="3587" max="3589" width="5.7109375" style="789" customWidth="1"/>
    <col min="3590" max="3590" width="9" style="789" customWidth="1"/>
    <col min="3591" max="3591" width="18.7109375" style="789" customWidth="1"/>
    <col min="3592" max="3838" width="9.140625" style="789"/>
    <col min="3839" max="3839" width="49.42578125" style="789" customWidth="1"/>
    <col min="3840" max="3841" width="3.5703125" style="789" customWidth="1"/>
    <col min="3842" max="3842" width="11.42578125" style="789" customWidth="1"/>
    <col min="3843" max="3845" width="5.7109375" style="789" customWidth="1"/>
    <col min="3846" max="3846" width="9" style="789" customWidth="1"/>
    <col min="3847" max="3847" width="18.7109375" style="789" customWidth="1"/>
    <col min="3848" max="4094" width="9.140625" style="789"/>
    <col min="4095" max="4095" width="49.42578125" style="789" customWidth="1"/>
    <col min="4096" max="4097" width="3.5703125" style="789" customWidth="1"/>
    <col min="4098" max="4098" width="11.42578125" style="789" customWidth="1"/>
    <col min="4099" max="4101" width="5.7109375" style="789" customWidth="1"/>
    <col min="4102" max="4102" width="9" style="789" customWidth="1"/>
    <col min="4103" max="4103" width="18.7109375" style="789" customWidth="1"/>
    <col min="4104" max="4350" width="9.140625" style="789"/>
    <col min="4351" max="4351" width="49.42578125" style="789" customWidth="1"/>
    <col min="4352" max="4353" width="3.5703125" style="789" customWidth="1"/>
    <col min="4354" max="4354" width="11.42578125" style="789" customWidth="1"/>
    <col min="4355" max="4357" width="5.7109375" style="789" customWidth="1"/>
    <col min="4358" max="4358" width="9" style="789" customWidth="1"/>
    <col min="4359" max="4359" width="18.7109375" style="789" customWidth="1"/>
    <col min="4360" max="4606" width="9.140625" style="789"/>
    <col min="4607" max="4607" width="49.42578125" style="789" customWidth="1"/>
    <col min="4608" max="4609" width="3.5703125" style="789" customWidth="1"/>
    <col min="4610" max="4610" width="11.42578125" style="789" customWidth="1"/>
    <col min="4611" max="4613" width="5.7109375" style="789" customWidth="1"/>
    <col min="4614" max="4614" width="9" style="789" customWidth="1"/>
    <col min="4615" max="4615" width="18.7109375" style="789" customWidth="1"/>
    <col min="4616" max="4862" width="9.140625" style="789"/>
    <col min="4863" max="4863" width="49.42578125" style="789" customWidth="1"/>
    <col min="4864" max="4865" width="3.5703125" style="789" customWidth="1"/>
    <col min="4866" max="4866" width="11.42578125" style="789" customWidth="1"/>
    <col min="4867" max="4869" width="5.7109375" style="789" customWidth="1"/>
    <col min="4870" max="4870" width="9" style="789" customWidth="1"/>
    <col min="4871" max="4871" width="18.7109375" style="789" customWidth="1"/>
    <col min="4872" max="5118" width="9.140625" style="789"/>
    <col min="5119" max="5119" width="49.42578125" style="789" customWidth="1"/>
    <col min="5120" max="5121" width="3.5703125" style="789" customWidth="1"/>
    <col min="5122" max="5122" width="11.42578125" style="789" customWidth="1"/>
    <col min="5123" max="5125" width="5.7109375" style="789" customWidth="1"/>
    <col min="5126" max="5126" width="9" style="789" customWidth="1"/>
    <col min="5127" max="5127" width="18.7109375" style="789" customWidth="1"/>
    <col min="5128" max="5374" width="9.140625" style="789"/>
    <col min="5375" max="5375" width="49.42578125" style="789" customWidth="1"/>
    <col min="5376" max="5377" width="3.5703125" style="789" customWidth="1"/>
    <col min="5378" max="5378" width="11.42578125" style="789" customWidth="1"/>
    <col min="5379" max="5381" width="5.7109375" style="789" customWidth="1"/>
    <col min="5382" max="5382" width="9" style="789" customWidth="1"/>
    <col min="5383" max="5383" width="18.7109375" style="789" customWidth="1"/>
    <col min="5384" max="5630" width="9.140625" style="789"/>
    <col min="5631" max="5631" width="49.42578125" style="789" customWidth="1"/>
    <col min="5632" max="5633" width="3.5703125" style="789" customWidth="1"/>
    <col min="5634" max="5634" width="11.42578125" style="789" customWidth="1"/>
    <col min="5635" max="5637" width="5.7109375" style="789" customWidth="1"/>
    <col min="5638" max="5638" width="9" style="789" customWidth="1"/>
    <col min="5639" max="5639" width="18.7109375" style="789" customWidth="1"/>
    <col min="5640" max="5886" width="9.140625" style="789"/>
    <col min="5887" max="5887" width="49.42578125" style="789" customWidth="1"/>
    <col min="5888" max="5889" width="3.5703125" style="789" customWidth="1"/>
    <col min="5890" max="5890" width="11.42578125" style="789" customWidth="1"/>
    <col min="5891" max="5893" width="5.7109375" style="789" customWidth="1"/>
    <col min="5894" max="5894" width="9" style="789" customWidth="1"/>
    <col min="5895" max="5895" width="18.7109375" style="789" customWidth="1"/>
    <col min="5896" max="6142" width="9.140625" style="789"/>
    <col min="6143" max="6143" width="49.42578125" style="789" customWidth="1"/>
    <col min="6144" max="6145" width="3.5703125" style="789" customWidth="1"/>
    <col min="6146" max="6146" width="11.42578125" style="789" customWidth="1"/>
    <col min="6147" max="6149" width="5.7109375" style="789" customWidth="1"/>
    <col min="6150" max="6150" width="9" style="789" customWidth="1"/>
    <col min="6151" max="6151" width="18.7109375" style="789" customWidth="1"/>
    <col min="6152" max="6398" width="9.140625" style="789"/>
    <col min="6399" max="6399" width="49.42578125" style="789" customWidth="1"/>
    <col min="6400" max="6401" width="3.5703125" style="789" customWidth="1"/>
    <col min="6402" max="6402" width="11.42578125" style="789" customWidth="1"/>
    <col min="6403" max="6405" width="5.7109375" style="789" customWidth="1"/>
    <col min="6406" max="6406" width="9" style="789" customWidth="1"/>
    <col min="6407" max="6407" width="18.7109375" style="789" customWidth="1"/>
    <col min="6408" max="6654" width="9.140625" style="789"/>
    <col min="6655" max="6655" width="49.42578125" style="789" customWidth="1"/>
    <col min="6656" max="6657" width="3.5703125" style="789" customWidth="1"/>
    <col min="6658" max="6658" width="11.42578125" style="789" customWidth="1"/>
    <col min="6659" max="6661" width="5.7109375" style="789" customWidth="1"/>
    <col min="6662" max="6662" width="9" style="789" customWidth="1"/>
    <col min="6663" max="6663" width="18.7109375" style="789" customWidth="1"/>
    <col min="6664" max="6910" width="9.140625" style="789"/>
    <col min="6911" max="6911" width="49.42578125" style="789" customWidth="1"/>
    <col min="6912" max="6913" width="3.5703125" style="789" customWidth="1"/>
    <col min="6914" max="6914" width="11.42578125" style="789" customWidth="1"/>
    <col min="6915" max="6917" width="5.7109375" style="789" customWidth="1"/>
    <col min="6918" max="6918" width="9" style="789" customWidth="1"/>
    <col min="6919" max="6919" width="18.7109375" style="789" customWidth="1"/>
    <col min="6920" max="7166" width="9.140625" style="789"/>
    <col min="7167" max="7167" width="49.42578125" style="789" customWidth="1"/>
    <col min="7168" max="7169" width="3.5703125" style="789" customWidth="1"/>
    <col min="7170" max="7170" width="11.42578125" style="789" customWidth="1"/>
    <col min="7171" max="7173" width="5.7109375" style="789" customWidth="1"/>
    <col min="7174" max="7174" width="9" style="789" customWidth="1"/>
    <col min="7175" max="7175" width="18.7109375" style="789" customWidth="1"/>
    <col min="7176" max="7422" width="9.140625" style="789"/>
    <col min="7423" max="7423" width="49.42578125" style="789" customWidth="1"/>
    <col min="7424" max="7425" width="3.5703125" style="789" customWidth="1"/>
    <col min="7426" max="7426" width="11.42578125" style="789" customWidth="1"/>
    <col min="7427" max="7429" width="5.7109375" style="789" customWidth="1"/>
    <col min="7430" max="7430" width="9" style="789" customWidth="1"/>
    <col min="7431" max="7431" width="18.7109375" style="789" customWidth="1"/>
    <col min="7432" max="7678" width="9.140625" style="789"/>
    <col min="7679" max="7679" width="49.42578125" style="789" customWidth="1"/>
    <col min="7680" max="7681" width="3.5703125" style="789" customWidth="1"/>
    <col min="7682" max="7682" width="11.42578125" style="789" customWidth="1"/>
    <col min="7683" max="7685" width="5.7109375" style="789" customWidth="1"/>
    <col min="7686" max="7686" width="9" style="789" customWidth="1"/>
    <col min="7687" max="7687" width="18.7109375" style="789" customWidth="1"/>
    <col min="7688" max="7934" width="9.140625" style="789"/>
    <col min="7935" max="7935" width="49.42578125" style="789" customWidth="1"/>
    <col min="7936" max="7937" width="3.5703125" style="789" customWidth="1"/>
    <col min="7938" max="7938" width="11.42578125" style="789" customWidth="1"/>
    <col min="7939" max="7941" width="5.7109375" style="789" customWidth="1"/>
    <col min="7942" max="7942" width="9" style="789" customWidth="1"/>
    <col min="7943" max="7943" width="18.7109375" style="789" customWidth="1"/>
    <col min="7944" max="8190" width="9.140625" style="789"/>
    <col min="8191" max="8191" width="49.42578125" style="789" customWidth="1"/>
    <col min="8192" max="8193" width="3.5703125" style="789" customWidth="1"/>
    <col min="8194" max="8194" width="11.42578125" style="789" customWidth="1"/>
    <col min="8195" max="8197" width="5.7109375" style="789" customWidth="1"/>
    <col min="8198" max="8198" width="9" style="789" customWidth="1"/>
    <col min="8199" max="8199" width="18.7109375" style="789" customWidth="1"/>
    <col min="8200" max="8446" width="9.140625" style="789"/>
    <col min="8447" max="8447" width="49.42578125" style="789" customWidth="1"/>
    <col min="8448" max="8449" width="3.5703125" style="789" customWidth="1"/>
    <col min="8450" max="8450" width="11.42578125" style="789" customWidth="1"/>
    <col min="8451" max="8453" width="5.7109375" style="789" customWidth="1"/>
    <col min="8454" max="8454" width="9" style="789" customWidth="1"/>
    <col min="8455" max="8455" width="18.7109375" style="789" customWidth="1"/>
    <col min="8456" max="8702" width="9.140625" style="789"/>
    <col min="8703" max="8703" width="49.42578125" style="789" customWidth="1"/>
    <col min="8704" max="8705" width="3.5703125" style="789" customWidth="1"/>
    <col min="8706" max="8706" width="11.42578125" style="789" customWidth="1"/>
    <col min="8707" max="8709" width="5.7109375" style="789" customWidth="1"/>
    <col min="8710" max="8710" width="9" style="789" customWidth="1"/>
    <col min="8711" max="8711" width="18.7109375" style="789" customWidth="1"/>
    <col min="8712" max="8958" width="9.140625" style="789"/>
    <col min="8959" max="8959" width="49.42578125" style="789" customWidth="1"/>
    <col min="8960" max="8961" width="3.5703125" style="789" customWidth="1"/>
    <col min="8962" max="8962" width="11.42578125" style="789" customWidth="1"/>
    <col min="8963" max="8965" width="5.7109375" style="789" customWidth="1"/>
    <col min="8966" max="8966" width="9" style="789" customWidth="1"/>
    <col min="8967" max="8967" width="18.7109375" style="789" customWidth="1"/>
    <col min="8968" max="9214" width="9.140625" style="789"/>
    <col min="9215" max="9215" width="49.42578125" style="789" customWidth="1"/>
    <col min="9216" max="9217" width="3.5703125" style="789" customWidth="1"/>
    <col min="9218" max="9218" width="11.42578125" style="789" customWidth="1"/>
    <col min="9219" max="9221" width="5.7109375" style="789" customWidth="1"/>
    <col min="9222" max="9222" width="9" style="789" customWidth="1"/>
    <col min="9223" max="9223" width="18.7109375" style="789" customWidth="1"/>
    <col min="9224" max="9470" width="9.140625" style="789"/>
    <col min="9471" max="9471" width="49.42578125" style="789" customWidth="1"/>
    <col min="9472" max="9473" width="3.5703125" style="789" customWidth="1"/>
    <col min="9474" max="9474" width="11.42578125" style="789" customWidth="1"/>
    <col min="9475" max="9477" width="5.7109375" style="789" customWidth="1"/>
    <col min="9478" max="9478" width="9" style="789" customWidth="1"/>
    <col min="9479" max="9479" width="18.7109375" style="789" customWidth="1"/>
    <col min="9480" max="9726" width="9.140625" style="789"/>
    <col min="9727" max="9727" width="49.42578125" style="789" customWidth="1"/>
    <col min="9728" max="9729" width="3.5703125" style="789" customWidth="1"/>
    <col min="9730" max="9730" width="11.42578125" style="789" customWidth="1"/>
    <col min="9731" max="9733" width="5.7109375" style="789" customWidth="1"/>
    <col min="9734" max="9734" width="9" style="789" customWidth="1"/>
    <col min="9735" max="9735" width="18.7109375" style="789" customWidth="1"/>
    <col min="9736" max="9982" width="9.140625" style="789"/>
    <col min="9983" max="9983" width="49.42578125" style="789" customWidth="1"/>
    <col min="9984" max="9985" width="3.5703125" style="789" customWidth="1"/>
    <col min="9986" max="9986" width="11.42578125" style="789" customWidth="1"/>
    <col min="9987" max="9989" width="5.7109375" style="789" customWidth="1"/>
    <col min="9990" max="9990" width="9" style="789" customWidth="1"/>
    <col min="9991" max="9991" width="18.7109375" style="789" customWidth="1"/>
    <col min="9992" max="10238" width="9.140625" style="789"/>
    <col min="10239" max="10239" width="49.42578125" style="789" customWidth="1"/>
    <col min="10240" max="10241" width="3.5703125" style="789" customWidth="1"/>
    <col min="10242" max="10242" width="11.42578125" style="789" customWidth="1"/>
    <col min="10243" max="10245" width="5.7109375" style="789" customWidth="1"/>
    <col min="10246" max="10246" width="9" style="789" customWidth="1"/>
    <col min="10247" max="10247" width="18.7109375" style="789" customWidth="1"/>
    <col min="10248" max="10494" width="9.140625" style="789"/>
    <col min="10495" max="10495" width="49.42578125" style="789" customWidth="1"/>
    <col min="10496" max="10497" width="3.5703125" style="789" customWidth="1"/>
    <col min="10498" max="10498" width="11.42578125" style="789" customWidth="1"/>
    <col min="10499" max="10501" width="5.7109375" style="789" customWidth="1"/>
    <col min="10502" max="10502" width="9" style="789" customWidth="1"/>
    <col min="10503" max="10503" width="18.7109375" style="789" customWidth="1"/>
    <col min="10504" max="10750" width="9.140625" style="789"/>
    <col min="10751" max="10751" width="49.42578125" style="789" customWidth="1"/>
    <col min="10752" max="10753" width="3.5703125" style="789" customWidth="1"/>
    <col min="10754" max="10754" width="11.42578125" style="789" customWidth="1"/>
    <col min="10755" max="10757" width="5.7109375" style="789" customWidth="1"/>
    <col min="10758" max="10758" width="9" style="789" customWidth="1"/>
    <col min="10759" max="10759" width="18.7109375" style="789" customWidth="1"/>
    <col min="10760" max="11006" width="9.140625" style="789"/>
    <col min="11007" max="11007" width="49.42578125" style="789" customWidth="1"/>
    <col min="11008" max="11009" width="3.5703125" style="789" customWidth="1"/>
    <col min="11010" max="11010" width="11.42578125" style="789" customWidth="1"/>
    <col min="11011" max="11013" width="5.7109375" style="789" customWidth="1"/>
    <col min="11014" max="11014" width="9" style="789" customWidth="1"/>
    <col min="11015" max="11015" width="18.7109375" style="789" customWidth="1"/>
    <col min="11016" max="11262" width="9.140625" style="789"/>
    <col min="11263" max="11263" width="49.42578125" style="789" customWidth="1"/>
    <col min="11264" max="11265" width="3.5703125" style="789" customWidth="1"/>
    <col min="11266" max="11266" width="11.42578125" style="789" customWidth="1"/>
    <col min="11267" max="11269" width="5.7109375" style="789" customWidth="1"/>
    <col min="11270" max="11270" width="9" style="789" customWidth="1"/>
    <col min="11271" max="11271" width="18.7109375" style="789" customWidth="1"/>
    <col min="11272" max="11518" width="9.140625" style="789"/>
    <col min="11519" max="11519" width="49.42578125" style="789" customWidth="1"/>
    <col min="11520" max="11521" width="3.5703125" style="789" customWidth="1"/>
    <col min="11522" max="11522" width="11.42578125" style="789" customWidth="1"/>
    <col min="11523" max="11525" width="5.7109375" style="789" customWidth="1"/>
    <col min="11526" max="11526" width="9" style="789" customWidth="1"/>
    <col min="11527" max="11527" width="18.7109375" style="789" customWidth="1"/>
    <col min="11528" max="11774" width="9.140625" style="789"/>
    <col min="11775" max="11775" width="49.42578125" style="789" customWidth="1"/>
    <col min="11776" max="11777" width="3.5703125" style="789" customWidth="1"/>
    <col min="11778" max="11778" width="11.42578125" style="789" customWidth="1"/>
    <col min="11779" max="11781" width="5.7109375" style="789" customWidth="1"/>
    <col min="11782" max="11782" width="9" style="789" customWidth="1"/>
    <col min="11783" max="11783" width="18.7109375" style="789" customWidth="1"/>
    <col min="11784" max="12030" width="9.140625" style="789"/>
    <col min="12031" max="12031" width="49.42578125" style="789" customWidth="1"/>
    <col min="12032" max="12033" width="3.5703125" style="789" customWidth="1"/>
    <col min="12034" max="12034" width="11.42578125" style="789" customWidth="1"/>
    <col min="12035" max="12037" width="5.7109375" style="789" customWidth="1"/>
    <col min="12038" max="12038" width="9" style="789" customWidth="1"/>
    <col min="12039" max="12039" width="18.7109375" style="789" customWidth="1"/>
    <col min="12040" max="12286" width="9.140625" style="789"/>
    <col min="12287" max="12287" width="49.42578125" style="789" customWidth="1"/>
    <col min="12288" max="12289" width="3.5703125" style="789" customWidth="1"/>
    <col min="12290" max="12290" width="11.42578125" style="789" customWidth="1"/>
    <col min="12291" max="12293" width="5.7109375" style="789" customWidth="1"/>
    <col min="12294" max="12294" width="9" style="789" customWidth="1"/>
    <col min="12295" max="12295" width="18.7109375" style="789" customWidth="1"/>
    <col min="12296" max="12542" width="9.140625" style="789"/>
    <col min="12543" max="12543" width="49.42578125" style="789" customWidth="1"/>
    <col min="12544" max="12545" width="3.5703125" style="789" customWidth="1"/>
    <col min="12546" max="12546" width="11.42578125" style="789" customWidth="1"/>
    <col min="12547" max="12549" width="5.7109375" style="789" customWidth="1"/>
    <col min="12550" max="12550" width="9" style="789" customWidth="1"/>
    <col min="12551" max="12551" width="18.7109375" style="789" customWidth="1"/>
    <col min="12552" max="12798" width="9.140625" style="789"/>
    <col min="12799" max="12799" width="49.42578125" style="789" customWidth="1"/>
    <col min="12800" max="12801" width="3.5703125" style="789" customWidth="1"/>
    <col min="12802" max="12802" width="11.42578125" style="789" customWidth="1"/>
    <col min="12803" max="12805" width="5.7109375" style="789" customWidth="1"/>
    <col min="12806" max="12806" width="9" style="789" customWidth="1"/>
    <col min="12807" max="12807" width="18.7109375" style="789" customWidth="1"/>
    <col min="12808" max="13054" width="9.140625" style="789"/>
    <col min="13055" max="13055" width="49.42578125" style="789" customWidth="1"/>
    <col min="13056" max="13057" width="3.5703125" style="789" customWidth="1"/>
    <col min="13058" max="13058" width="11.42578125" style="789" customWidth="1"/>
    <col min="13059" max="13061" width="5.7109375" style="789" customWidth="1"/>
    <col min="13062" max="13062" width="9" style="789" customWidth="1"/>
    <col min="13063" max="13063" width="18.7109375" style="789" customWidth="1"/>
    <col min="13064" max="13310" width="9.140625" style="789"/>
    <col min="13311" max="13311" width="49.42578125" style="789" customWidth="1"/>
    <col min="13312" max="13313" width="3.5703125" style="789" customWidth="1"/>
    <col min="13314" max="13314" width="11.42578125" style="789" customWidth="1"/>
    <col min="13315" max="13317" width="5.7109375" style="789" customWidth="1"/>
    <col min="13318" max="13318" width="9" style="789" customWidth="1"/>
    <col min="13319" max="13319" width="18.7109375" style="789" customWidth="1"/>
    <col min="13320" max="13566" width="9.140625" style="789"/>
    <col min="13567" max="13567" width="49.42578125" style="789" customWidth="1"/>
    <col min="13568" max="13569" width="3.5703125" style="789" customWidth="1"/>
    <col min="13570" max="13570" width="11.42578125" style="789" customWidth="1"/>
    <col min="13571" max="13573" width="5.7109375" style="789" customWidth="1"/>
    <col min="13574" max="13574" width="9" style="789" customWidth="1"/>
    <col min="13575" max="13575" width="18.7109375" style="789" customWidth="1"/>
    <col min="13576" max="13822" width="9.140625" style="789"/>
    <col min="13823" max="13823" width="49.42578125" style="789" customWidth="1"/>
    <col min="13824" max="13825" width="3.5703125" style="789" customWidth="1"/>
    <col min="13826" max="13826" width="11.42578125" style="789" customWidth="1"/>
    <col min="13827" max="13829" width="5.7109375" style="789" customWidth="1"/>
    <col min="13830" max="13830" width="9" style="789" customWidth="1"/>
    <col min="13831" max="13831" width="18.7109375" style="789" customWidth="1"/>
    <col min="13832" max="14078" width="9.140625" style="789"/>
    <col min="14079" max="14079" width="49.42578125" style="789" customWidth="1"/>
    <col min="14080" max="14081" width="3.5703125" style="789" customWidth="1"/>
    <col min="14082" max="14082" width="11.42578125" style="789" customWidth="1"/>
    <col min="14083" max="14085" width="5.7109375" style="789" customWidth="1"/>
    <col min="14086" max="14086" width="9" style="789" customWidth="1"/>
    <col min="14087" max="14087" width="18.7109375" style="789" customWidth="1"/>
    <col min="14088" max="14334" width="9.140625" style="789"/>
    <col min="14335" max="14335" width="49.42578125" style="789" customWidth="1"/>
    <col min="14336" max="14337" width="3.5703125" style="789" customWidth="1"/>
    <col min="14338" max="14338" width="11.42578125" style="789" customWidth="1"/>
    <col min="14339" max="14341" width="5.7109375" style="789" customWidth="1"/>
    <col min="14342" max="14342" width="9" style="789" customWidth="1"/>
    <col min="14343" max="14343" width="18.7109375" style="789" customWidth="1"/>
    <col min="14344" max="14590" width="9.140625" style="789"/>
    <col min="14591" max="14591" width="49.42578125" style="789" customWidth="1"/>
    <col min="14592" max="14593" width="3.5703125" style="789" customWidth="1"/>
    <col min="14594" max="14594" width="11.42578125" style="789" customWidth="1"/>
    <col min="14595" max="14597" width="5.7109375" style="789" customWidth="1"/>
    <col min="14598" max="14598" width="9" style="789" customWidth="1"/>
    <col min="14599" max="14599" width="18.7109375" style="789" customWidth="1"/>
    <col min="14600" max="14846" width="9.140625" style="789"/>
    <col min="14847" max="14847" width="49.42578125" style="789" customWidth="1"/>
    <col min="14848" max="14849" width="3.5703125" style="789" customWidth="1"/>
    <col min="14850" max="14850" width="11.42578125" style="789" customWidth="1"/>
    <col min="14851" max="14853" width="5.7109375" style="789" customWidth="1"/>
    <col min="14854" max="14854" width="9" style="789" customWidth="1"/>
    <col min="14855" max="14855" width="18.7109375" style="789" customWidth="1"/>
    <col min="14856" max="15102" width="9.140625" style="789"/>
    <col min="15103" max="15103" width="49.42578125" style="789" customWidth="1"/>
    <col min="15104" max="15105" width="3.5703125" style="789" customWidth="1"/>
    <col min="15106" max="15106" width="11.42578125" style="789" customWidth="1"/>
    <col min="15107" max="15109" width="5.7109375" style="789" customWidth="1"/>
    <col min="15110" max="15110" width="9" style="789" customWidth="1"/>
    <col min="15111" max="15111" width="18.7109375" style="789" customWidth="1"/>
    <col min="15112" max="15358" width="9.140625" style="789"/>
    <col min="15359" max="15359" width="49.42578125" style="789" customWidth="1"/>
    <col min="15360" max="15361" width="3.5703125" style="789" customWidth="1"/>
    <col min="15362" max="15362" width="11.42578125" style="789" customWidth="1"/>
    <col min="15363" max="15365" width="5.7109375" style="789" customWidth="1"/>
    <col min="15366" max="15366" width="9" style="789" customWidth="1"/>
    <col min="15367" max="15367" width="18.7109375" style="789" customWidth="1"/>
    <col min="15368" max="15614" width="9.140625" style="789"/>
    <col min="15615" max="15615" width="49.42578125" style="789" customWidth="1"/>
    <col min="15616" max="15617" width="3.5703125" style="789" customWidth="1"/>
    <col min="15618" max="15618" width="11.42578125" style="789" customWidth="1"/>
    <col min="15619" max="15621" width="5.7109375" style="789" customWidth="1"/>
    <col min="15622" max="15622" width="9" style="789" customWidth="1"/>
    <col min="15623" max="15623" width="18.7109375" style="789" customWidth="1"/>
    <col min="15624" max="15870" width="9.140625" style="789"/>
    <col min="15871" max="15871" width="49.42578125" style="789" customWidth="1"/>
    <col min="15872" max="15873" width="3.5703125" style="789" customWidth="1"/>
    <col min="15874" max="15874" width="11.42578125" style="789" customWidth="1"/>
    <col min="15875" max="15877" width="5.7109375" style="789" customWidth="1"/>
    <col min="15878" max="15878" width="9" style="789" customWidth="1"/>
    <col min="15879" max="15879" width="18.7109375" style="789" customWidth="1"/>
    <col min="15880" max="16126" width="9.140625" style="789"/>
    <col min="16127" max="16127" width="49.42578125" style="789" customWidth="1"/>
    <col min="16128" max="16129" width="3.5703125" style="789" customWidth="1"/>
    <col min="16130" max="16130" width="11.42578125" style="789" customWidth="1"/>
    <col min="16131" max="16133" width="5.7109375" style="789" customWidth="1"/>
    <col min="16134" max="16134" width="9" style="789" customWidth="1"/>
    <col min="16135" max="16135" width="18.7109375" style="789" customWidth="1"/>
    <col min="16136" max="16384" width="9.140625" style="789"/>
  </cols>
  <sheetData>
    <row r="1" spans="1:10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10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  <c r="J2" s="903"/>
    </row>
    <row r="3" spans="1:10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  <c r="J3" s="832"/>
    </row>
    <row r="4" spans="1:10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10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10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  <c r="J6" s="887"/>
    </row>
    <row r="7" spans="1:10" s="829" customFormat="1" ht="15" customHeight="1" x14ac:dyDescent="0.25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  <c r="J7" s="888"/>
    </row>
    <row r="8" spans="1:10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  <c r="J8" s="904"/>
    </row>
    <row r="9" spans="1:10" s="829" customFormat="1" ht="13.5" customHeight="1" x14ac:dyDescent="0.25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  <c r="J9" s="888"/>
    </row>
    <row r="10" spans="1:10" s="829" customFormat="1" ht="13.5" customHeight="1" x14ac:dyDescent="0.25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  <c r="J10" s="888"/>
    </row>
    <row r="11" spans="1:10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  <c r="J11" s="839"/>
    </row>
    <row r="12" spans="1:10" s="179" customFormat="1" ht="33.75" customHeight="1" x14ac:dyDescent="0.2">
      <c r="A12" s="1142" t="s">
        <v>127</v>
      </c>
      <c r="B12" s="1142"/>
      <c r="C12" s="1142"/>
      <c r="D12" s="1142"/>
      <c r="E12" s="1142"/>
      <c r="F12" s="1142"/>
      <c r="G12" s="1142"/>
      <c r="H12" s="1142"/>
      <c r="I12" s="638"/>
    </row>
    <row r="13" spans="1:10" s="179" customFormat="1" ht="6" customHeight="1" x14ac:dyDescent="0.2">
      <c r="E13" s="842"/>
      <c r="F13" s="842"/>
      <c r="G13" s="842"/>
      <c r="H13" s="842"/>
      <c r="I13" s="638"/>
    </row>
    <row r="14" spans="1:10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10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10" x14ac:dyDescent="0.25">
      <c r="A16" s="564" t="s">
        <v>640</v>
      </c>
      <c r="B16" s="581" t="s">
        <v>106</v>
      </c>
      <c r="C16" s="581" t="s">
        <v>128</v>
      </c>
      <c r="D16" s="581" t="s">
        <v>485</v>
      </c>
      <c r="E16" s="581" t="s">
        <v>345</v>
      </c>
      <c r="F16" s="586" t="s">
        <v>345</v>
      </c>
      <c r="G16" s="563"/>
      <c r="H16" s="580">
        <f>H17+H24+H44+H46+H48+H52</f>
        <v>2536.2999999999997</v>
      </c>
    </row>
    <row r="17" spans="1:10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10" x14ac:dyDescent="0.25">
      <c r="A18" s="566" t="s">
        <v>346</v>
      </c>
      <c r="B18" s="848"/>
      <c r="C18" s="848"/>
      <c r="D18" s="848"/>
      <c r="E18" s="581"/>
      <c r="F18" s="559">
        <v>211</v>
      </c>
      <c r="G18" s="559"/>
      <c r="H18" s="850"/>
      <c r="J18" s="811"/>
    </row>
    <row r="19" spans="1:10" x14ac:dyDescent="0.25">
      <c r="A19" s="566" t="s">
        <v>642</v>
      </c>
      <c r="B19" s="848"/>
      <c r="C19" s="848"/>
      <c r="D19" s="848"/>
      <c r="E19" s="848"/>
      <c r="F19" s="559">
        <v>212</v>
      </c>
      <c r="G19" s="559"/>
      <c r="H19" s="850">
        <f>H20</f>
        <v>0</v>
      </c>
      <c r="J19" s="811"/>
    </row>
    <row r="20" spans="1:10" x14ac:dyDescent="0.25">
      <c r="A20" s="567" t="s">
        <v>347</v>
      </c>
      <c r="B20" s="852"/>
      <c r="C20" s="852"/>
      <c r="D20" s="852"/>
      <c r="E20" s="852"/>
      <c r="F20" s="560">
        <v>212</v>
      </c>
      <c r="G20" s="560">
        <v>610</v>
      </c>
      <c r="H20" s="281"/>
    </row>
    <row r="21" spans="1:10" x14ac:dyDescent="0.25">
      <c r="A21" s="566" t="s">
        <v>643</v>
      </c>
      <c r="B21" s="848"/>
      <c r="C21" s="848"/>
      <c r="D21" s="848"/>
      <c r="E21" s="581"/>
      <c r="F21" s="559">
        <v>213</v>
      </c>
      <c r="G21" s="559"/>
      <c r="H21" s="850"/>
    </row>
    <row r="22" spans="1:10" ht="24" x14ac:dyDescent="0.25">
      <c r="A22" s="566" t="s">
        <v>644</v>
      </c>
      <c r="B22" s="848"/>
      <c r="C22" s="848"/>
      <c r="D22" s="848"/>
      <c r="E22" s="848"/>
      <c r="F22" s="559">
        <v>214</v>
      </c>
      <c r="G22" s="559"/>
      <c r="H22" s="850">
        <f>H23</f>
        <v>0</v>
      </c>
    </row>
    <row r="23" spans="1:10" x14ac:dyDescent="0.25">
      <c r="A23" s="567" t="s">
        <v>423</v>
      </c>
      <c r="B23" s="852"/>
      <c r="C23" s="852"/>
      <c r="D23" s="852"/>
      <c r="E23" s="852"/>
      <c r="F23" s="560">
        <v>214</v>
      </c>
      <c r="G23" s="560">
        <v>831</v>
      </c>
      <c r="H23" s="281"/>
    </row>
    <row r="24" spans="1:10" x14ac:dyDescent="0.25">
      <c r="A24" s="565" t="s">
        <v>645</v>
      </c>
      <c r="B24" s="846" t="s">
        <v>106</v>
      </c>
      <c r="C24" s="846" t="s">
        <v>128</v>
      </c>
      <c r="D24" s="846" t="s">
        <v>134</v>
      </c>
      <c r="E24" s="846" t="s">
        <v>126</v>
      </c>
      <c r="F24" s="558">
        <v>220</v>
      </c>
      <c r="G24" s="558"/>
      <c r="H24" s="847">
        <f>H25+H26+H28+H32+H36</f>
        <v>2536.2999999999997</v>
      </c>
    </row>
    <row r="25" spans="1:10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10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10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10" x14ac:dyDescent="0.25">
      <c r="A28" s="566" t="s">
        <v>353</v>
      </c>
      <c r="B28" s="848" t="s">
        <v>106</v>
      </c>
      <c r="C28" s="848" t="s">
        <v>128</v>
      </c>
      <c r="D28" s="848" t="s">
        <v>134</v>
      </c>
      <c r="E28" s="848" t="s">
        <v>416</v>
      </c>
      <c r="F28" s="559">
        <v>223</v>
      </c>
      <c r="G28" s="559"/>
      <c r="H28" s="850">
        <f>SUM(H29:H31)</f>
        <v>2536.2999999999997</v>
      </c>
    </row>
    <row r="29" spans="1:10" x14ac:dyDescent="0.25">
      <c r="A29" s="567" t="s">
        <v>354</v>
      </c>
      <c r="B29" s="852" t="s">
        <v>106</v>
      </c>
      <c r="C29" s="852" t="s">
        <v>128</v>
      </c>
      <c r="D29" s="852" t="s">
        <v>134</v>
      </c>
      <c r="E29" s="852" t="s">
        <v>416</v>
      </c>
      <c r="F29" s="560">
        <v>223</v>
      </c>
      <c r="G29" s="560">
        <v>721</v>
      </c>
      <c r="H29" s="281">
        <f>рКомУсл!F29</f>
        <v>1949.4</v>
      </c>
    </row>
    <row r="30" spans="1:10" x14ac:dyDescent="0.25">
      <c r="A30" s="567" t="s">
        <v>355</v>
      </c>
      <c r="B30" s="852" t="s">
        <v>106</v>
      </c>
      <c r="C30" s="852" t="s">
        <v>128</v>
      </c>
      <c r="D30" s="852" t="s">
        <v>134</v>
      </c>
      <c r="E30" s="852" t="s">
        <v>416</v>
      </c>
      <c r="F30" s="560">
        <v>223</v>
      </c>
      <c r="G30" s="560">
        <v>730</v>
      </c>
      <c r="H30" s="281">
        <f>рКомУсл!F30</f>
        <v>442.2</v>
      </c>
    </row>
    <row r="31" spans="1:10" x14ac:dyDescent="0.25">
      <c r="A31" s="567" t="s">
        <v>356</v>
      </c>
      <c r="B31" s="852" t="s">
        <v>106</v>
      </c>
      <c r="C31" s="852" t="s">
        <v>128</v>
      </c>
      <c r="D31" s="852" t="s">
        <v>134</v>
      </c>
      <c r="E31" s="852" t="s">
        <v>416</v>
      </c>
      <c r="F31" s="560">
        <v>223</v>
      </c>
      <c r="G31" s="560">
        <v>740</v>
      </c>
      <c r="H31" s="281">
        <f>рКомУсл!F31+рКомУсл!F32</f>
        <v>144.69999999999999</v>
      </c>
    </row>
    <row r="32" spans="1:10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2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2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6" t="s">
        <v>652</v>
      </c>
      <c r="B47" s="854"/>
      <c r="C47" s="854"/>
      <c r="D47" s="854"/>
      <c r="E47" s="854"/>
      <c r="F47" s="559">
        <v>251</v>
      </c>
      <c r="G47" s="559"/>
      <c r="H47" s="580"/>
    </row>
    <row r="48" spans="1:9" x14ac:dyDescent="0.25">
      <c r="A48" s="565" t="s">
        <v>653</v>
      </c>
      <c r="B48" s="857"/>
      <c r="C48" s="857"/>
      <c r="D48" s="857"/>
      <c r="E48" s="857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48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854"/>
      <c r="C53" s="854"/>
      <c r="D53" s="854"/>
      <c r="E53" s="854"/>
      <c r="F53" s="562">
        <v>291</v>
      </c>
      <c r="G53" s="562"/>
      <c r="H53" s="580"/>
    </row>
    <row r="54" spans="1:8" x14ac:dyDescent="0.25">
      <c r="A54" s="568" t="s">
        <v>380</v>
      </c>
      <c r="B54" s="848"/>
      <c r="C54" s="848"/>
      <c r="D54" s="848"/>
      <c r="E54" s="848"/>
      <c r="F54" s="562">
        <v>292</v>
      </c>
      <c r="G54" s="562"/>
      <c r="H54" s="850"/>
    </row>
    <row r="55" spans="1:8" x14ac:dyDescent="0.25">
      <c r="A55" s="568" t="s">
        <v>381</v>
      </c>
      <c r="B55" s="848"/>
      <c r="C55" s="848"/>
      <c r="D55" s="848"/>
      <c r="E55" s="848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48"/>
      <c r="C57" s="848"/>
      <c r="D57" s="848"/>
      <c r="E57" s="848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854"/>
      <c r="C60" s="854"/>
      <c r="D60" s="854"/>
      <c r="E60" s="854"/>
      <c r="F60" s="559" t="s">
        <v>373</v>
      </c>
      <c r="G60" s="559"/>
      <c r="H60" s="580">
        <f>H61</f>
        <v>0</v>
      </c>
    </row>
    <row r="61" spans="1:8" x14ac:dyDescent="0.25">
      <c r="A61" s="567" t="s">
        <v>374</v>
      </c>
      <c r="B61" s="848"/>
      <c r="C61" s="848"/>
      <c r="D61" s="848"/>
      <c r="E61" s="848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8" x14ac:dyDescent="0.25">
      <c r="A65" s="569" t="s">
        <v>487</v>
      </c>
      <c r="B65" s="848" t="s">
        <v>106</v>
      </c>
      <c r="C65" s="848" t="s">
        <v>128</v>
      </c>
      <c r="D65" s="848" t="s">
        <v>134</v>
      </c>
      <c r="E65" s="848" t="s">
        <v>126</v>
      </c>
      <c r="F65" s="563"/>
      <c r="G65" s="563"/>
      <c r="H65" s="850">
        <f>H28</f>
        <v>2536.2999999999997</v>
      </c>
    </row>
    <row r="66" spans="1:8" x14ac:dyDescent="0.25">
      <c r="A66" s="571" t="s">
        <v>377</v>
      </c>
      <c r="B66" s="848" t="s">
        <v>106</v>
      </c>
      <c r="C66" s="848" t="s">
        <v>128</v>
      </c>
      <c r="D66" s="848" t="s">
        <v>485</v>
      </c>
      <c r="E66" s="848" t="s">
        <v>345</v>
      </c>
      <c r="F66" s="570"/>
      <c r="G66" s="570"/>
      <c r="H66" s="850">
        <f>H59+H16</f>
        <v>2536.2999999999997</v>
      </c>
    </row>
    <row r="67" spans="1:8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  <mergeCell ref="A6:H6"/>
    <mergeCell ref="A7:H7"/>
    <mergeCell ref="E8:F8"/>
    <mergeCell ref="G8:H8"/>
    <mergeCell ref="A9:D9"/>
    <mergeCell ref="E9:F9"/>
    <mergeCell ref="G9:H9"/>
    <mergeCell ref="D5:E5"/>
    <mergeCell ref="F5:H5"/>
    <mergeCell ref="D1:H1"/>
    <mergeCell ref="D2:H2"/>
    <mergeCell ref="D3:H3"/>
    <mergeCell ref="D4:E4"/>
    <mergeCell ref="F4:H4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R40"/>
  <sheetViews>
    <sheetView workbookViewId="0">
      <selection activeCell="F32" sqref="F32"/>
    </sheetView>
  </sheetViews>
  <sheetFormatPr defaultRowHeight="15" x14ac:dyDescent="0.25"/>
  <cols>
    <col min="1" max="1" width="4.28515625" style="203" customWidth="1"/>
    <col min="2" max="2" width="23.42578125" style="203" customWidth="1"/>
    <col min="3" max="4" width="6.7109375" style="203" customWidth="1"/>
    <col min="5" max="5" width="10.140625" style="203" customWidth="1"/>
    <col min="6" max="6" width="13.140625" style="203" customWidth="1"/>
    <col min="7" max="7" width="11.7109375" style="203" customWidth="1"/>
    <col min="8" max="8" width="10.5703125" style="203" customWidth="1"/>
    <col min="9" max="9" width="10.140625" style="203" bestFit="1" customWidth="1"/>
    <col min="10" max="10" width="8" style="203" customWidth="1"/>
    <col min="11" max="12" width="11.5703125" style="203" customWidth="1"/>
    <col min="13" max="17" width="12.5703125" style="203" customWidth="1"/>
    <col min="18" max="243" width="9.140625" style="203"/>
    <col min="244" max="244" width="4.28515625" style="203" customWidth="1"/>
    <col min="245" max="245" width="10.5703125" style="203" customWidth="1"/>
    <col min="246" max="246" width="12" style="203" customWidth="1"/>
    <col min="247" max="247" width="8.7109375" style="203" customWidth="1"/>
    <col min="248" max="248" width="7.28515625" style="203" customWidth="1"/>
    <col min="249" max="249" width="14.42578125" style="203" customWidth="1"/>
    <col min="250" max="250" width="7.140625" style="203" customWidth="1"/>
    <col min="251" max="251" width="7" style="203" customWidth="1"/>
    <col min="252" max="252" width="11.7109375" style="203" customWidth="1"/>
    <col min="253" max="253" width="10.140625" style="203" customWidth="1"/>
    <col min="254" max="254" width="10.140625" style="203" bestFit="1" customWidth="1"/>
    <col min="255" max="255" width="14.5703125" style="203" bestFit="1" customWidth="1"/>
    <col min="256" max="257" width="12.85546875" style="203" bestFit="1" customWidth="1"/>
    <col min="258" max="258" width="11.42578125" style="203" customWidth="1"/>
    <col min="259" max="259" width="14.7109375" style="203" customWidth="1"/>
    <col min="260" max="260" width="11.85546875" style="203" bestFit="1" customWidth="1"/>
    <col min="261" max="262" width="9.85546875" style="203" bestFit="1" customWidth="1"/>
    <col min="263" max="264" width="9.140625" style="203"/>
    <col min="265" max="265" width="11.7109375" style="203" bestFit="1" customWidth="1"/>
    <col min="266" max="499" width="9.140625" style="203"/>
    <col min="500" max="500" width="4.28515625" style="203" customWidth="1"/>
    <col min="501" max="501" width="10.5703125" style="203" customWidth="1"/>
    <col min="502" max="502" width="12" style="203" customWidth="1"/>
    <col min="503" max="503" width="8.7109375" style="203" customWidth="1"/>
    <col min="504" max="504" width="7.28515625" style="203" customWidth="1"/>
    <col min="505" max="505" width="14.42578125" style="203" customWidth="1"/>
    <col min="506" max="506" width="7.140625" style="203" customWidth="1"/>
    <col min="507" max="507" width="7" style="203" customWidth="1"/>
    <col min="508" max="508" width="11.7109375" style="203" customWidth="1"/>
    <col min="509" max="509" width="10.140625" style="203" customWidth="1"/>
    <col min="510" max="510" width="10.140625" style="203" bestFit="1" customWidth="1"/>
    <col min="511" max="511" width="14.5703125" style="203" bestFit="1" customWidth="1"/>
    <col min="512" max="513" width="12.85546875" style="203" bestFit="1" customWidth="1"/>
    <col min="514" max="514" width="11.42578125" style="203" customWidth="1"/>
    <col min="515" max="515" width="14.7109375" style="203" customWidth="1"/>
    <col min="516" max="516" width="11.85546875" style="203" bestFit="1" customWidth="1"/>
    <col min="517" max="518" width="9.85546875" style="203" bestFit="1" customWidth="1"/>
    <col min="519" max="520" width="9.140625" style="203"/>
    <col min="521" max="521" width="11.7109375" style="203" bestFit="1" customWidth="1"/>
    <col min="522" max="755" width="9.140625" style="203"/>
    <col min="756" max="756" width="4.28515625" style="203" customWidth="1"/>
    <col min="757" max="757" width="10.5703125" style="203" customWidth="1"/>
    <col min="758" max="758" width="12" style="203" customWidth="1"/>
    <col min="759" max="759" width="8.7109375" style="203" customWidth="1"/>
    <col min="760" max="760" width="7.28515625" style="203" customWidth="1"/>
    <col min="761" max="761" width="14.42578125" style="203" customWidth="1"/>
    <col min="762" max="762" width="7.140625" style="203" customWidth="1"/>
    <col min="763" max="763" width="7" style="203" customWidth="1"/>
    <col min="764" max="764" width="11.7109375" style="203" customWidth="1"/>
    <col min="765" max="765" width="10.140625" style="203" customWidth="1"/>
    <col min="766" max="766" width="10.140625" style="203" bestFit="1" customWidth="1"/>
    <col min="767" max="767" width="14.5703125" style="203" bestFit="1" customWidth="1"/>
    <col min="768" max="769" width="12.85546875" style="203" bestFit="1" customWidth="1"/>
    <col min="770" max="770" width="11.42578125" style="203" customWidth="1"/>
    <col min="771" max="771" width="14.7109375" style="203" customWidth="1"/>
    <col min="772" max="772" width="11.85546875" style="203" bestFit="1" customWidth="1"/>
    <col min="773" max="774" width="9.85546875" style="203" bestFit="1" customWidth="1"/>
    <col min="775" max="776" width="9.140625" style="203"/>
    <col min="777" max="777" width="11.7109375" style="203" bestFit="1" customWidth="1"/>
    <col min="778" max="1011" width="9.140625" style="203"/>
    <col min="1012" max="1012" width="4.28515625" style="203" customWidth="1"/>
    <col min="1013" max="1013" width="10.5703125" style="203" customWidth="1"/>
    <col min="1014" max="1014" width="12" style="203" customWidth="1"/>
    <col min="1015" max="1015" width="8.7109375" style="203" customWidth="1"/>
    <col min="1016" max="1016" width="7.28515625" style="203" customWidth="1"/>
    <col min="1017" max="1017" width="14.42578125" style="203" customWidth="1"/>
    <col min="1018" max="1018" width="7.140625" style="203" customWidth="1"/>
    <col min="1019" max="1019" width="7" style="203" customWidth="1"/>
    <col min="1020" max="1020" width="11.7109375" style="203" customWidth="1"/>
    <col min="1021" max="1021" width="10.140625" style="203" customWidth="1"/>
    <col min="1022" max="1022" width="10.140625" style="203" bestFit="1" customWidth="1"/>
    <col min="1023" max="1023" width="14.5703125" style="203" bestFit="1" customWidth="1"/>
    <col min="1024" max="1025" width="12.85546875" style="203" bestFit="1" customWidth="1"/>
    <col min="1026" max="1026" width="11.42578125" style="203" customWidth="1"/>
    <col min="1027" max="1027" width="14.7109375" style="203" customWidth="1"/>
    <col min="1028" max="1028" width="11.85546875" style="203" bestFit="1" customWidth="1"/>
    <col min="1029" max="1030" width="9.85546875" style="203" bestFit="1" customWidth="1"/>
    <col min="1031" max="1032" width="9.140625" style="203"/>
    <col min="1033" max="1033" width="11.7109375" style="203" bestFit="1" customWidth="1"/>
    <col min="1034" max="1267" width="9.140625" style="203"/>
    <col min="1268" max="1268" width="4.28515625" style="203" customWidth="1"/>
    <col min="1269" max="1269" width="10.5703125" style="203" customWidth="1"/>
    <col min="1270" max="1270" width="12" style="203" customWidth="1"/>
    <col min="1271" max="1271" width="8.7109375" style="203" customWidth="1"/>
    <col min="1272" max="1272" width="7.28515625" style="203" customWidth="1"/>
    <col min="1273" max="1273" width="14.42578125" style="203" customWidth="1"/>
    <col min="1274" max="1274" width="7.140625" style="203" customWidth="1"/>
    <col min="1275" max="1275" width="7" style="203" customWidth="1"/>
    <col min="1276" max="1276" width="11.7109375" style="203" customWidth="1"/>
    <col min="1277" max="1277" width="10.140625" style="203" customWidth="1"/>
    <col min="1278" max="1278" width="10.140625" style="203" bestFit="1" customWidth="1"/>
    <col min="1279" max="1279" width="14.5703125" style="203" bestFit="1" customWidth="1"/>
    <col min="1280" max="1281" width="12.85546875" style="203" bestFit="1" customWidth="1"/>
    <col min="1282" max="1282" width="11.42578125" style="203" customWidth="1"/>
    <col min="1283" max="1283" width="14.7109375" style="203" customWidth="1"/>
    <col min="1284" max="1284" width="11.85546875" style="203" bestFit="1" customWidth="1"/>
    <col min="1285" max="1286" width="9.85546875" style="203" bestFit="1" customWidth="1"/>
    <col min="1287" max="1288" width="9.140625" style="203"/>
    <col min="1289" max="1289" width="11.7109375" style="203" bestFit="1" customWidth="1"/>
    <col min="1290" max="1523" width="9.140625" style="203"/>
    <col min="1524" max="1524" width="4.28515625" style="203" customWidth="1"/>
    <col min="1525" max="1525" width="10.5703125" style="203" customWidth="1"/>
    <col min="1526" max="1526" width="12" style="203" customWidth="1"/>
    <col min="1527" max="1527" width="8.7109375" style="203" customWidth="1"/>
    <col min="1528" max="1528" width="7.28515625" style="203" customWidth="1"/>
    <col min="1529" max="1529" width="14.42578125" style="203" customWidth="1"/>
    <col min="1530" max="1530" width="7.140625" style="203" customWidth="1"/>
    <col min="1531" max="1531" width="7" style="203" customWidth="1"/>
    <col min="1532" max="1532" width="11.7109375" style="203" customWidth="1"/>
    <col min="1533" max="1533" width="10.140625" style="203" customWidth="1"/>
    <col min="1534" max="1534" width="10.140625" style="203" bestFit="1" customWidth="1"/>
    <col min="1535" max="1535" width="14.5703125" style="203" bestFit="1" customWidth="1"/>
    <col min="1536" max="1537" width="12.85546875" style="203" bestFit="1" customWidth="1"/>
    <col min="1538" max="1538" width="11.42578125" style="203" customWidth="1"/>
    <col min="1539" max="1539" width="14.7109375" style="203" customWidth="1"/>
    <col min="1540" max="1540" width="11.85546875" style="203" bestFit="1" customWidth="1"/>
    <col min="1541" max="1542" width="9.85546875" style="203" bestFit="1" customWidth="1"/>
    <col min="1543" max="1544" width="9.140625" style="203"/>
    <col min="1545" max="1545" width="11.7109375" style="203" bestFit="1" customWidth="1"/>
    <col min="1546" max="1779" width="9.140625" style="203"/>
    <col min="1780" max="1780" width="4.28515625" style="203" customWidth="1"/>
    <col min="1781" max="1781" width="10.5703125" style="203" customWidth="1"/>
    <col min="1782" max="1782" width="12" style="203" customWidth="1"/>
    <col min="1783" max="1783" width="8.7109375" style="203" customWidth="1"/>
    <col min="1784" max="1784" width="7.28515625" style="203" customWidth="1"/>
    <col min="1785" max="1785" width="14.42578125" style="203" customWidth="1"/>
    <col min="1786" max="1786" width="7.140625" style="203" customWidth="1"/>
    <col min="1787" max="1787" width="7" style="203" customWidth="1"/>
    <col min="1788" max="1788" width="11.7109375" style="203" customWidth="1"/>
    <col min="1789" max="1789" width="10.140625" style="203" customWidth="1"/>
    <col min="1790" max="1790" width="10.140625" style="203" bestFit="1" customWidth="1"/>
    <col min="1791" max="1791" width="14.5703125" style="203" bestFit="1" customWidth="1"/>
    <col min="1792" max="1793" width="12.85546875" style="203" bestFit="1" customWidth="1"/>
    <col min="1794" max="1794" width="11.42578125" style="203" customWidth="1"/>
    <col min="1795" max="1795" width="14.7109375" style="203" customWidth="1"/>
    <col min="1796" max="1796" width="11.85546875" style="203" bestFit="1" customWidth="1"/>
    <col min="1797" max="1798" width="9.85546875" style="203" bestFit="1" customWidth="1"/>
    <col min="1799" max="1800" width="9.140625" style="203"/>
    <col min="1801" max="1801" width="11.7109375" style="203" bestFit="1" customWidth="1"/>
    <col min="1802" max="2035" width="9.140625" style="203"/>
    <col min="2036" max="2036" width="4.28515625" style="203" customWidth="1"/>
    <col min="2037" max="2037" width="10.5703125" style="203" customWidth="1"/>
    <col min="2038" max="2038" width="12" style="203" customWidth="1"/>
    <col min="2039" max="2039" width="8.7109375" style="203" customWidth="1"/>
    <col min="2040" max="2040" width="7.28515625" style="203" customWidth="1"/>
    <col min="2041" max="2041" width="14.42578125" style="203" customWidth="1"/>
    <col min="2042" max="2042" width="7.140625" style="203" customWidth="1"/>
    <col min="2043" max="2043" width="7" style="203" customWidth="1"/>
    <col min="2044" max="2044" width="11.7109375" style="203" customWidth="1"/>
    <col min="2045" max="2045" width="10.140625" style="203" customWidth="1"/>
    <col min="2046" max="2046" width="10.140625" style="203" bestFit="1" customWidth="1"/>
    <col min="2047" max="2047" width="14.5703125" style="203" bestFit="1" customWidth="1"/>
    <col min="2048" max="2049" width="12.85546875" style="203" bestFit="1" customWidth="1"/>
    <col min="2050" max="2050" width="11.42578125" style="203" customWidth="1"/>
    <col min="2051" max="2051" width="14.7109375" style="203" customWidth="1"/>
    <col min="2052" max="2052" width="11.85546875" style="203" bestFit="1" customWidth="1"/>
    <col min="2053" max="2054" width="9.85546875" style="203" bestFit="1" customWidth="1"/>
    <col min="2055" max="2056" width="9.140625" style="203"/>
    <col min="2057" max="2057" width="11.7109375" style="203" bestFit="1" customWidth="1"/>
    <col min="2058" max="2291" width="9.140625" style="203"/>
    <col min="2292" max="2292" width="4.28515625" style="203" customWidth="1"/>
    <col min="2293" max="2293" width="10.5703125" style="203" customWidth="1"/>
    <col min="2294" max="2294" width="12" style="203" customWidth="1"/>
    <col min="2295" max="2295" width="8.7109375" style="203" customWidth="1"/>
    <col min="2296" max="2296" width="7.28515625" style="203" customWidth="1"/>
    <col min="2297" max="2297" width="14.42578125" style="203" customWidth="1"/>
    <col min="2298" max="2298" width="7.140625" style="203" customWidth="1"/>
    <col min="2299" max="2299" width="7" style="203" customWidth="1"/>
    <col min="2300" max="2300" width="11.7109375" style="203" customWidth="1"/>
    <col min="2301" max="2301" width="10.140625" style="203" customWidth="1"/>
    <col min="2302" max="2302" width="10.140625" style="203" bestFit="1" customWidth="1"/>
    <col min="2303" max="2303" width="14.5703125" style="203" bestFit="1" customWidth="1"/>
    <col min="2304" max="2305" width="12.85546875" style="203" bestFit="1" customWidth="1"/>
    <col min="2306" max="2306" width="11.42578125" style="203" customWidth="1"/>
    <col min="2307" max="2307" width="14.7109375" style="203" customWidth="1"/>
    <col min="2308" max="2308" width="11.85546875" style="203" bestFit="1" customWidth="1"/>
    <col min="2309" max="2310" width="9.85546875" style="203" bestFit="1" customWidth="1"/>
    <col min="2311" max="2312" width="9.140625" style="203"/>
    <col min="2313" max="2313" width="11.7109375" style="203" bestFit="1" customWidth="1"/>
    <col min="2314" max="2547" width="9.140625" style="203"/>
    <col min="2548" max="2548" width="4.28515625" style="203" customWidth="1"/>
    <col min="2549" max="2549" width="10.5703125" style="203" customWidth="1"/>
    <col min="2550" max="2550" width="12" style="203" customWidth="1"/>
    <col min="2551" max="2551" width="8.7109375" style="203" customWidth="1"/>
    <col min="2552" max="2552" width="7.28515625" style="203" customWidth="1"/>
    <col min="2553" max="2553" width="14.42578125" style="203" customWidth="1"/>
    <col min="2554" max="2554" width="7.140625" style="203" customWidth="1"/>
    <col min="2555" max="2555" width="7" style="203" customWidth="1"/>
    <col min="2556" max="2556" width="11.7109375" style="203" customWidth="1"/>
    <col min="2557" max="2557" width="10.140625" style="203" customWidth="1"/>
    <col min="2558" max="2558" width="10.140625" style="203" bestFit="1" customWidth="1"/>
    <col min="2559" max="2559" width="14.5703125" style="203" bestFit="1" customWidth="1"/>
    <col min="2560" max="2561" width="12.85546875" style="203" bestFit="1" customWidth="1"/>
    <col min="2562" max="2562" width="11.42578125" style="203" customWidth="1"/>
    <col min="2563" max="2563" width="14.7109375" style="203" customWidth="1"/>
    <col min="2564" max="2564" width="11.85546875" style="203" bestFit="1" customWidth="1"/>
    <col min="2565" max="2566" width="9.85546875" style="203" bestFit="1" customWidth="1"/>
    <col min="2567" max="2568" width="9.140625" style="203"/>
    <col min="2569" max="2569" width="11.7109375" style="203" bestFit="1" customWidth="1"/>
    <col min="2570" max="2803" width="9.140625" style="203"/>
    <col min="2804" max="2804" width="4.28515625" style="203" customWidth="1"/>
    <col min="2805" max="2805" width="10.5703125" style="203" customWidth="1"/>
    <col min="2806" max="2806" width="12" style="203" customWidth="1"/>
    <col min="2807" max="2807" width="8.7109375" style="203" customWidth="1"/>
    <col min="2808" max="2808" width="7.28515625" style="203" customWidth="1"/>
    <col min="2809" max="2809" width="14.42578125" style="203" customWidth="1"/>
    <col min="2810" max="2810" width="7.140625" style="203" customWidth="1"/>
    <col min="2811" max="2811" width="7" style="203" customWidth="1"/>
    <col min="2812" max="2812" width="11.7109375" style="203" customWidth="1"/>
    <col min="2813" max="2813" width="10.140625" style="203" customWidth="1"/>
    <col min="2814" max="2814" width="10.140625" style="203" bestFit="1" customWidth="1"/>
    <col min="2815" max="2815" width="14.5703125" style="203" bestFit="1" customWidth="1"/>
    <col min="2816" max="2817" width="12.85546875" style="203" bestFit="1" customWidth="1"/>
    <col min="2818" max="2818" width="11.42578125" style="203" customWidth="1"/>
    <col min="2819" max="2819" width="14.7109375" style="203" customWidth="1"/>
    <col min="2820" max="2820" width="11.85546875" style="203" bestFit="1" customWidth="1"/>
    <col min="2821" max="2822" width="9.85546875" style="203" bestFit="1" customWidth="1"/>
    <col min="2823" max="2824" width="9.140625" style="203"/>
    <col min="2825" max="2825" width="11.7109375" style="203" bestFit="1" customWidth="1"/>
    <col min="2826" max="3059" width="9.140625" style="203"/>
    <col min="3060" max="3060" width="4.28515625" style="203" customWidth="1"/>
    <col min="3061" max="3061" width="10.5703125" style="203" customWidth="1"/>
    <col min="3062" max="3062" width="12" style="203" customWidth="1"/>
    <col min="3063" max="3063" width="8.7109375" style="203" customWidth="1"/>
    <col min="3064" max="3064" width="7.28515625" style="203" customWidth="1"/>
    <col min="3065" max="3065" width="14.42578125" style="203" customWidth="1"/>
    <col min="3066" max="3066" width="7.140625" style="203" customWidth="1"/>
    <col min="3067" max="3067" width="7" style="203" customWidth="1"/>
    <col min="3068" max="3068" width="11.7109375" style="203" customWidth="1"/>
    <col min="3069" max="3069" width="10.140625" style="203" customWidth="1"/>
    <col min="3070" max="3070" width="10.140625" style="203" bestFit="1" customWidth="1"/>
    <col min="3071" max="3071" width="14.5703125" style="203" bestFit="1" customWidth="1"/>
    <col min="3072" max="3073" width="12.85546875" style="203" bestFit="1" customWidth="1"/>
    <col min="3074" max="3074" width="11.42578125" style="203" customWidth="1"/>
    <col min="3075" max="3075" width="14.7109375" style="203" customWidth="1"/>
    <col min="3076" max="3076" width="11.85546875" style="203" bestFit="1" customWidth="1"/>
    <col min="3077" max="3078" width="9.85546875" style="203" bestFit="1" customWidth="1"/>
    <col min="3079" max="3080" width="9.140625" style="203"/>
    <col min="3081" max="3081" width="11.7109375" style="203" bestFit="1" customWidth="1"/>
    <col min="3082" max="3315" width="9.140625" style="203"/>
    <col min="3316" max="3316" width="4.28515625" style="203" customWidth="1"/>
    <col min="3317" max="3317" width="10.5703125" style="203" customWidth="1"/>
    <col min="3318" max="3318" width="12" style="203" customWidth="1"/>
    <col min="3319" max="3319" width="8.7109375" style="203" customWidth="1"/>
    <col min="3320" max="3320" width="7.28515625" style="203" customWidth="1"/>
    <col min="3321" max="3321" width="14.42578125" style="203" customWidth="1"/>
    <col min="3322" max="3322" width="7.140625" style="203" customWidth="1"/>
    <col min="3323" max="3323" width="7" style="203" customWidth="1"/>
    <col min="3324" max="3324" width="11.7109375" style="203" customWidth="1"/>
    <col min="3325" max="3325" width="10.140625" style="203" customWidth="1"/>
    <col min="3326" max="3326" width="10.140625" style="203" bestFit="1" customWidth="1"/>
    <col min="3327" max="3327" width="14.5703125" style="203" bestFit="1" customWidth="1"/>
    <col min="3328" max="3329" width="12.85546875" style="203" bestFit="1" customWidth="1"/>
    <col min="3330" max="3330" width="11.42578125" style="203" customWidth="1"/>
    <col min="3331" max="3331" width="14.7109375" style="203" customWidth="1"/>
    <col min="3332" max="3332" width="11.85546875" style="203" bestFit="1" customWidth="1"/>
    <col min="3333" max="3334" width="9.85546875" style="203" bestFit="1" customWidth="1"/>
    <col min="3335" max="3336" width="9.140625" style="203"/>
    <col min="3337" max="3337" width="11.7109375" style="203" bestFit="1" customWidth="1"/>
    <col min="3338" max="3571" width="9.140625" style="203"/>
    <col min="3572" max="3572" width="4.28515625" style="203" customWidth="1"/>
    <col min="3573" max="3573" width="10.5703125" style="203" customWidth="1"/>
    <col min="3574" max="3574" width="12" style="203" customWidth="1"/>
    <col min="3575" max="3575" width="8.7109375" style="203" customWidth="1"/>
    <col min="3576" max="3576" width="7.28515625" style="203" customWidth="1"/>
    <col min="3577" max="3577" width="14.42578125" style="203" customWidth="1"/>
    <col min="3578" max="3578" width="7.140625" style="203" customWidth="1"/>
    <col min="3579" max="3579" width="7" style="203" customWidth="1"/>
    <col min="3580" max="3580" width="11.7109375" style="203" customWidth="1"/>
    <col min="3581" max="3581" width="10.140625" style="203" customWidth="1"/>
    <col min="3582" max="3582" width="10.140625" style="203" bestFit="1" customWidth="1"/>
    <col min="3583" max="3583" width="14.5703125" style="203" bestFit="1" customWidth="1"/>
    <col min="3584" max="3585" width="12.85546875" style="203" bestFit="1" customWidth="1"/>
    <col min="3586" max="3586" width="11.42578125" style="203" customWidth="1"/>
    <col min="3587" max="3587" width="14.7109375" style="203" customWidth="1"/>
    <col min="3588" max="3588" width="11.85546875" style="203" bestFit="1" customWidth="1"/>
    <col min="3589" max="3590" width="9.85546875" style="203" bestFit="1" customWidth="1"/>
    <col min="3591" max="3592" width="9.140625" style="203"/>
    <col min="3593" max="3593" width="11.7109375" style="203" bestFit="1" customWidth="1"/>
    <col min="3594" max="3827" width="9.140625" style="203"/>
    <col min="3828" max="3828" width="4.28515625" style="203" customWidth="1"/>
    <col min="3829" max="3829" width="10.5703125" style="203" customWidth="1"/>
    <col min="3830" max="3830" width="12" style="203" customWidth="1"/>
    <col min="3831" max="3831" width="8.7109375" style="203" customWidth="1"/>
    <col min="3832" max="3832" width="7.28515625" style="203" customWidth="1"/>
    <col min="3833" max="3833" width="14.42578125" style="203" customWidth="1"/>
    <col min="3834" max="3834" width="7.140625" style="203" customWidth="1"/>
    <col min="3835" max="3835" width="7" style="203" customWidth="1"/>
    <col min="3836" max="3836" width="11.7109375" style="203" customWidth="1"/>
    <col min="3837" max="3837" width="10.140625" style="203" customWidth="1"/>
    <col min="3838" max="3838" width="10.140625" style="203" bestFit="1" customWidth="1"/>
    <col min="3839" max="3839" width="14.5703125" style="203" bestFit="1" customWidth="1"/>
    <col min="3840" max="3841" width="12.85546875" style="203" bestFit="1" customWidth="1"/>
    <col min="3842" max="3842" width="11.42578125" style="203" customWidth="1"/>
    <col min="3843" max="3843" width="14.7109375" style="203" customWidth="1"/>
    <col min="3844" max="3844" width="11.85546875" style="203" bestFit="1" customWidth="1"/>
    <col min="3845" max="3846" width="9.85546875" style="203" bestFit="1" customWidth="1"/>
    <col min="3847" max="3848" width="9.140625" style="203"/>
    <col min="3849" max="3849" width="11.7109375" style="203" bestFit="1" customWidth="1"/>
    <col min="3850" max="4083" width="9.140625" style="203"/>
    <col min="4084" max="4084" width="4.28515625" style="203" customWidth="1"/>
    <col min="4085" max="4085" width="10.5703125" style="203" customWidth="1"/>
    <col min="4086" max="4086" width="12" style="203" customWidth="1"/>
    <col min="4087" max="4087" width="8.7109375" style="203" customWidth="1"/>
    <col min="4088" max="4088" width="7.28515625" style="203" customWidth="1"/>
    <col min="4089" max="4089" width="14.42578125" style="203" customWidth="1"/>
    <col min="4090" max="4090" width="7.140625" style="203" customWidth="1"/>
    <col min="4091" max="4091" width="7" style="203" customWidth="1"/>
    <col min="4092" max="4092" width="11.7109375" style="203" customWidth="1"/>
    <col min="4093" max="4093" width="10.140625" style="203" customWidth="1"/>
    <col min="4094" max="4094" width="10.140625" style="203" bestFit="1" customWidth="1"/>
    <col min="4095" max="4095" width="14.5703125" style="203" bestFit="1" customWidth="1"/>
    <col min="4096" max="4097" width="12.85546875" style="203" bestFit="1" customWidth="1"/>
    <col min="4098" max="4098" width="11.42578125" style="203" customWidth="1"/>
    <col min="4099" max="4099" width="14.7109375" style="203" customWidth="1"/>
    <col min="4100" max="4100" width="11.85546875" style="203" bestFit="1" customWidth="1"/>
    <col min="4101" max="4102" width="9.85546875" style="203" bestFit="1" customWidth="1"/>
    <col min="4103" max="4104" width="9.140625" style="203"/>
    <col min="4105" max="4105" width="11.7109375" style="203" bestFit="1" customWidth="1"/>
    <col min="4106" max="4339" width="9.140625" style="203"/>
    <col min="4340" max="4340" width="4.28515625" style="203" customWidth="1"/>
    <col min="4341" max="4341" width="10.5703125" style="203" customWidth="1"/>
    <col min="4342" max="4342" width="12" style="203" customWidth="1"/>
    <col min="4343" max="4343" width="8.7109375" style="203" customWidth="1"/>
    <col min="4344" max="4344" width="7.28515625" style="203" customWidth="1"/>
    <col min="4345" max="4345" width="14.42578125" style="203" customWidth="1"/>
    <col min="4346" max="4346" width="7.140625" style="203" customWidth="1"/>
    <col min="4347" max="4347" width="7" style="203" customWidth="1"/>
    <col min="4348" max="4348" width="11.7109375" style="203" customWidth="1"/>
    <col min="4349" max="4349" width="10.140625" style="203" customWidth="1"/>
    <col min="4350" max="4350" width="10.140625" style="203" bestFit="1" customWidth="1"/>
    <col min="4351" max="4351" width="14.5703125" style="203" bestFit="1" customWidth="1"/>
    <col min="4352" max="4353" width="12.85546875" style="203" bestFit="1" customWidth="1"/>
    <col min="4354" max="4354" width="11.42578125" style="203" customWidth="1"/>
    <col min="4355" max="4355" width="14.7109375" style="203" customWidth="1"/>
    <col min="4356" max="4356" width="11.85546875" style="203" bestFit="1" customWidth="1"/>
    <col min="4357" max="4358" width="9.85546875" style="203" bestFit="1" customWidth="1"/>
    <col min="4359" max="4360" width="9.140625" style="203"/>
    <col min="4361" max="4361" width="11.7109375" style="203" bestFit="1" customWidth="1"/>
    <col min="4362" max="4595" width="9.140625" style="203"/>
    <col min="4596" max="4596" width="4.28515625" style="203" customWidth="1"/>
    <col min="4597" max="4597" width="10.5703125" style="203" customWidth="1"/>
    <col min="4598" max="4598" width="12" style="203" customWidth="1"/>
    <col min="4599" max="4599" width="8.7109375" style="203" customWidth="1"/>
    <col min="4600" max="4600" width="7.28515625" style="203" customWidth="1"/>
    <col min="4601" max="4601" width="14.42578125" style="203" customWidth="1"/>
    <col min="4602" max="4602" width="7.140625" style="203" customWidth="1"/>
    <col min="4603" max="4603" width="7" style="203" customWidth="1"/>
    <col min="4604" max="4604" width="11.7109375" style="203" customWidth="1"/>
    <col min="4605" max="4605" width="10.140625" style="203" customWidth="1"/>
    <col min="4606" max="4606" width="10.140625" style="203" bestFit="1" customWidth="1"/>
    <col min="4607" max="4607" width="14.5703125" style="203" bestFit="1" customWidth="1"/>
    <col min="4608" max="4609" width="12.85546875" style="203" bestFit="1" customWidth="1"/>
    <col min="4610" max="4610" width="11.42578125" style="203" customWidth="1"/>
    <col min="4611" max="4611" width="14.7109375" style="203" customWidth="1"/>
    <col min="4612" max="4612" width="11.85546875" style="203" bestFit="1" customWidth="1"/>
    <col min="4613" max="4614" width="9.85546875" style="203" bestFit="1" customWidth="1"/>
    <col min="4615" max="4616" width="9.140625" style="203"/>
    <col min="4617" max="4617" width="11.7109375" style="203" bestFit="1" customWidth="1"/>
    <col min="4618" max="4851" width="9.140625" style="203"/>
    <col min="4852" max="4852" width="4.28515625" style="203" customWidth="1"/>
    <col min="4853" max="4853" width="10.5703125" style="203" customWidth="1"/>
    <col min="4854" max="4854" width="12" style="203" customWidth="1"/>
    <col min="4855" max="4855" width="8.7109375" style="203" customWidth="1"/>
    <col min="4856" max="4856" width="7.28515625" style="203" customWidth="1"/>
    <col min="4857" max="4857" width="14.42578125" style="203" customWidth="1"/>
    <col min="4858" max="4858" width="7.140625" style="203" customWidth="1"/>
    <col min="4859" max="4859" width="7" style="203" customWidth="1"/>
    <col min="4860" max="4860" width="11.7109375" style="203" customWidth="1"/>
    <col min="4861" max="4861" width="10.140625" style="203" customWidth="1"/>
    <col min="4862" max="4862" width="10.140625" style="203" bestFit="1" customWidth="1"/>
    <col min="4863" max="4863" width="14.5703125" style="203" bestFit="1" customWidth="1"/>
    <col min="4864" max="4865" width="12.85546875" style="203" bestFit="1" customWidth="1"/>
    <col min="4866" max="4866" width="11.42578125" style="203" customWidth="1"/>
    <col min="4867" max="4867" width="14.7109375" style="203" customWidth="1"/>
    <col min="4868" max="4868" width="11.85546875" style="203" bestFit="1" customWidth="1"/>
    <col min="4869" max="4870" width="9.85546875" style="203" bestFit="1" customWidth="1"/>
    <col min="4871" max="4872" width="9.140625" style="203"/>
    <col min="4873" max="4873" width="11.7109375" style="203" bestFit="1" customWidth="1"/>
    <col min="4874" max="5107" width="9.140625" style="203"/>
    <col min="5108" max="5108" width="4.28515625" style="203" customWidth="1"/>
    <col min="5109" max="5109" width="10.5703125" style="203" customWidth="1"/>
    <col min="5110" max="5110" width="12" style="203" customWidth="1"/>
    <col min="5111" max="5111" width="8.7109375" style="203" customWidth="1"/>
    <col min="5112" max="5112" width="7.28515625" style="203" customWidth="1"/>
    <col min="5113" max="5113" width="14.42578125" style="203" customWidth="1"/>
    <col min="5114" max="5114" width="7.140625" style="203" customWidth="1"/>
    <col min="5115" max="5115" width="7" style="203" customWidth="1"/>
    <col min="5116" max="5116" width="11.7109375" style="203" customWidth="1"/>
    <col min="5117" max="5117" width="10.140625" style="203" customWidth="1"/>
    <col min="5118" max="5118" width="10.140625" style="203" bestFit="1" customWidth="1"/>
    <col min="5119" max="5119" width="14.5703125" style="203" bestFit="1" customWidth="1"/>
    <col min="5120" max="5121" width="12.85546875" style="203" bestFit="1" customWidth="1"/>
    <col min="5122" max="5122" width="11.42578125" style="203" customWidth="1"/>
    <col min="5123" max="5123" width="14.7109375" style="203" customWidth="1"/>
    <col min="5124" max="5124" width="11.85546875" style="203" bestFit="1" customWidth="1"/>
    <col min="5125" max="5126" width="9.85546875" style="203" bestFit="1" customWidth="1"/>
    <col min="5127" max="5128" width="9.140625" style="203"/>
    <col min="5129" max="5129" width="11.7109375" style="203" bestFit="1" customWidth="1"/>
    <col min="5130" max="5363" width="9.140625" style="203"/>
    <col min="5364" max="5364" width="4.28515625" style="203" customWidth="1"/>
    <col min="5365" max="5365" width="10.5703125" style="203" customWidth="1"/>
    <col min="5366" max="5366" width="12" style="203" customWidth="1"/>
    <col min="5367" max="5367" width="8.7109375" style="203" customWidth="1"/>
    <col min="5368" max="5368" width="7.28515625" style="203" customWidth="1"/>
    <col min="5369" max="5369" width="14.42578125" style="203" customWidth="1"/>
    <col min="5370" max="5370" width="7.140625" style="203" customWidth="1"/>
    <col min="5371" max="5371" width="7" style="203" customWidth="1"/>
    <col min="5372" max="5372" width="11.7109375" style="203" customWidth="1"/>
    <col min="5373" max="5373" width="10.140625" style="203" customWidth="1"/>
    <col min="5374" max="5374" width="10.140625" style="203" bestFit="1" customWidth="1"/>
    <col min="5375" max="5375" width="14.5703125" style="203" bestFit="1" customWidth="1"/>
    <col min="5376" max="5377" width="12.85546875" style="203" bestFit="1" customWidth="1"/>
    <col min="5378" max="5378" width="11.42578125" style="203" customWidth="1"/>
    <col min="5379" max="5379" width="14.7109375" style="203" customWidth="1"/>
    <col min="5380" max="5380" width="11.85546875" style="203" bestFit="1" customWidth="1"/>
    <col min="5381" max="5382" width="9.85546875" style="203" bestFit="1" customWidth="1"/>
    <col min="5383" max="5384" width="9.140625" style="203"/>
    <col min="5385" max="5385" width="11.7109375" style="203" bestFit="1" customWidth="1"/>
    <col min="5386" max="5619" width="9.140625" style="203"/>
    <col min="5620" max="5620" width="4.28515625" style="203" customWidth="1"/>
    <col min="5621" max="5621" width="10.5703125" style="203" customWidth="1"/>
    <col min="5622" max="5622" width="12" style="203" customWidth="1"/>
    <col min="5623" max="5623" width="8.7109375" style="203" customWidth="1"/>
    <col min="5624" max="5624" width="7.28515625" style="203" customWidth="1"/>
    <col min="5625" max="5625" width="14.42578125" style="203" customWidth="1"/>
    <col min="5626" max="5626" width="7.140625" style="203" customWidth="1"/>
    <col min="5627" max="5627" width="7" style="203" customWidth="1"/>
    <col min="5628" max="5628" width="11.7109375" style="203" customWidth="1"/>
    <col min="5629" max="5629" width="10.140625" style="203" customWidth="1"/>
    <col min="5630" max="5630" width="10.140625" style="203" bestFit="1" customWidth="1"/>
    <col min="5631" max="5631" width="14.5703125" style="203" bestFit="1" customWidth="1"/>
    <col min="5632" max="5633" width="12.85546875" style="203" bestFit="1" customWidth="1"/>
    <col min="5634" max="5634" width="11.42578125" style="203" customWidth="1"/>
    <col min="5635" max="5635" width="14.7109375" style="203" customWidth="1"/>
    <col min="5636" max="5636" width="11.85546875" style="203" bestFit="1" customWidth="1"/>
    <col min="5637" max="5638" width="9.85546875" style="203" bestFit="1" customWidth="1"/>
    <col min="5639" max="5640" width="9.140625" style="203"/>
    <col min="5641" max="5641" width="11.7109375" style="203" bestFit="1" customWidth="1"/>
    <col min="5642" max="5875" width="9.140625" style="203"/>
    <col min="5876" max="5876" width="4.28515625" style="203" customWidth="1"/>
    <col min="5877" max="5877" width="10.5703125" style="203" customWidth="1"/>
    <col min="5878" max="5878" width="12" style="203" customWidth="1"/>
    <col min="5879" max="5879" width="8.7109375" style="203" customWidth="1"/>
    <col min="5880" max="5880" width="7.28515625" style="203" customWidth="1"/>
    <col min="5881" max="5881" width="14.42578125" style="203" customWidth="1"/>
    <col min="5882" max="5882" width="7.140625" style="203" customWidth="1"/>
    <col min="5883" max="5883" width="7" style="203" customWidth="1"/>
    <col min="5884" max="5884" width="11.7109375" style="203" customWidth="1"/>
    <col min="5885" max="5885" width="10.140625" style="203" customWidth="1"/>
    <col min="5886" max="5886" width="10.140625" style="203" bestFit="1" customWidth="1"/>
    <col min="5887" max="5887" width="14.5703125" style="203" bestFit="1" customWidth="1"/>
    <col min="5888" max="5889" width="12.85546875" style="203" bestFit="1" customWidth="1"/>
    <col min="5890" max="5890" width="11.42578125" style="203" customWidth="1"/>
    <col min="5891" max="5891" width="14.7109375" style="203" customWidth="1"/>
    <col min="5892" max="5892" width="11.85546875" style="203" bestFit="1" customWidth="1"/>
    <col min="5893" max="5894" width="9.85546875" style="203" bestFit="1" customWidth="1"/>
    <col min="5895" max="5896" width="9.140625" style="203"/>
    <col min="5897" max="5897" width="11.7109375" style="203" bestFit="1" customWidth="1"/>
    <col min="5898" max="6131" width="9.140625" style="203"/>
    <col min="6132" max="6132" width="4.28515625" style="203" customWidth="1"/>
    <col min="6133" max="6133" width="10.5703125" style="203" customWidth="1"/>
    <col min="6134" max="6134" width="12" style="203" customWidth="1"/>
    <col min="6135" max="6135" width="8.7109375" style="203" customWidth="1"/>
    <col min="6136" max="6136" width="7.28515625" style="203" customWidth="1"/>
    <col min="6137" max="6137" width="14.42578125" style="203" customWidth="1"/>
    <col min="6138" max="6138" width="7.140625" style="203" customWidth="1"/>
    <col min="6139" max="6139" width="7" style="203" customWidth="1"/>
    <col min="6140" max="6140" width="11.7109375" style="203" customWidth="1"/>
    <col min="6141" max="6141" width="10.140625" style="203" customWidth="1"/>
    <col min="6142" max="6142" width="10.140625" style="203" bestFit="1" customWidth="1"/>
    <col min="6143" max="6143" width="14.5703125" style="203" bestFit="1" customWidth="1"/>
    <col min="6144" max="6145" width="12.85546875" style="203" bestFit="1" customWidth="1"/>
    <col min="6146" max="6146" width="11.42578125" style="203" customWidth="1"/>
    <col min="6147" max="6147" width="14.7109375" style="203" customWidth="1"/>
    <col min="6148" max="6148" width="11.85546875" style="203" bestFit="1" customWidth="1"/>
    <col min="6149" max="6150" width="9.85546875" style="203" bestFit="1" customWidth="1"/>
    <col min="6151" max="6152" width="9.140625" style="203"/>
    <col min="6153" max="6153" width="11.7109375" style="203" bestFit="1" customWidth="1"/>
    <col min="6154" max="6387" width="9.140625" style="203"/>
    <col min="6388" max="6388" width="4.28515625" style="203" customWidth="1"/>
    <col min="6389" max="6389" width="10.5703125" style="203" customWidth="1"/>
    <col min="6390" max="6390" width="12" style="203" customWidth="1"/>
    <col min="6391" max="6391" width="8.7109375" style="203" customWidth="1"/>
    <col min="6392" max="6392" width="7.28515625" style="203" customWidth="1"/>
    <col min="6393" max="6393" width="14.42578125" style="203" customWidth="1"/>
    <col min="6394" max="6394" width="7.140625" style="203" customWidth="1"/>
    <col min="6395" max="6395" width="7" style="203" customWidth="1"/>
    <col min="6396" max="6396" width="11.7109375" style="203" customWidth="1"/>
    <col min="6397" max="6397" width="10.140625" style="203" customWidth="1"/>
    <col min="6398" max="6398" width="10.140625" style="203" bestFit="1" customWidth="1"/>
    <col min="6399" max="6399" width="14.5703125" style="203" bestFit="1" customWidth="1"/>
    <col min="6400" max="6401" width="12.85546875" style="203" bestFit="1" customWidth="1"/>
    <col min="6402" max="6402" width="11.42578125" style="203" customWidth="1"/>
    <col min="6403" max="6403" width="14.7109375" style="203" customWidth="1"/>
    <col min="6404" max="6404" width="11.85546875" style="203" bestFit="1" customWidth="1"/>
    <col min="6405" max="6406" width="9.85546875" style="203" bestFit="1" customWidth="1"/>
    <col min="6407" max="6408" width="9.140625" style="203"/>
    <col min="6409" max="6409" width="11.7109375" style="203" bestFit="1" customWidth="1"/>
    <col min="6410" max="6643" width="9.140625" style="203"/>
    <col min="6644" max="6644" width="4.28515625" style="203" customWidth="1"/>
    <col min="6645" max="6645" width="10.5703125" style="203" customWidth="1"/>
    <col min="6646" max="6646" width="12" style="203" customWidth="1"/>
    <col min="6647" max="6647" width="8.7109375" style="203" customWidth="1"/>
    <col min="6648" max="6648" width="7.28515625" style="203" customWidth="1"/>
    <col min="6649" max="6649" width="14.42578125" style="203" customWidth="1"/>
    <col min="6650" max="6650" width="7.140625" style="203" customWidth="1"/>
    <col min="6651" max="6651" width="7" style="203" customWidth="1"/>
    <col min="6652" max="6652" width="11.7109375" style="203" customWidth="1"/>
    <col min="6653" max="6653" width="10.140625" style="203" customWidth="1"/>
    <col min="6654" max="6654" width="10.140625" style="203" bestFit="1" customWidth="1"/>
    <col min="6655" max="6655" width="14.5703125" style="203" bestFit="1" customWidth="1"/>
    <col min="6656" max="6657" width="12.85546875" style="203" bestFit="1" customWidth="1"/>
    <col min="6658" max="6658" width="11.42578125" style="203" customWidth="1"/>
    <col min="6659" max="6659" width="14.7109375" style="203" customWidth="1"/>
    <col min="6660" max="6660" width="11.85546875" style="203" bestFit="1" customWidth="1"/>
    <col min="6661" max="6662" width="9.85546875" style="203" bestFit="1" customWidth="1"/>
    <col min="6663" max="6664" width="9.140625" style="203"/>
    <col min="6665" max="6665" width="11.7109375" style="203" bestFit="1" customWidth="1"/>
    <col min="6666" max="6899" width="9.140625" style="203"/>
    <col min="6900" max="6900" width="4.28515625" style="203" customWidth="1"/>
    <col min="6901" max="6901" width="10.5703125" style="203" customWidth="1"/>
    <col min="6902" max="6902" width="12" style="203" customWidth="1"/>
    <col min="6903" max="6903" width="8.7109375" style="203" customWidth="1"/>
    <col min="6904" max="6904" width="7.28515625" style="203" customWidth="1"/>
    <col min="6905" max="6905" width="14.42578125" style="203" customWidth="1"/>
    <col min="6906" max="6906" width="7.140625" style="203" customWidth="1"/>
    <col min="6907" max="6907" width="7" style="203" customWidth="1"/>
    <col min="6908" max="6908" width="11.7109375" style="203" customWidth="1"/>
    <col min="6909" max="6909" width="10.140625" style="203" customWidth="1"/>
    <col min="6910" max="6910" width="10.140625" style="203" bestFit="1" customWidth="1"/>
    <col min="6911" max="6911" width="14.5703125" style="203" bestFit="1" customWidth="1"/>
    <col min="6912" max="6913" width="12.85546875" style="203" bestFit="1" customWidth="1"/>
    <col min="6914" max="6914" width="11.42578125" style="203" customWidth="1"/>
    <col min="6915" max="6915" width="14.7109375" style="203" customWidth="1"/>
    <col min="6916" max="6916" width="11.85546875" style="203" bestFit="1" customWidth="1"/>
    <col min="6917" max="6918" width="9.85546875" style="203" bestFit="1" customWidth="1"/>
    <col min="6919" max="6920" width="9.140625" style="203"/>
    <col min="6921" max="6921" width="11.7109375" style="203" bestFit="1" customWidth="1"/>
    <col min="6922" max="7155" width="9.140625" style="203"/>
    <col min="7156" max="7156" width="4.28515625" style="203" customWidth="1"/>
    <col min="7157" max="7157" width="10.5703125" style="203" customWidth="1"/>
    <col min="7158" max="7158" width="12" style="203" customWidth="1"/>
    <col min="7159" max="7159" width="8.7109375" style="203" customWidth="1"/>
    <col min="7160" max="7160" width="7.28515625" style="203" customWidth="1"/>
    <col min="7161" max="7161" width="14.42578125" style="203" customWidth="1"/>
    <col min="7162" max="7162" width="7.140625" style="203" customWidth="1"/>
    <col min="7163" max="7163" width="7" style="203" customWidth="1"/>
    <col min="7164" max="7164" width="11.7109375" style="203" customWidth="1"/>
    <col min="7165" max="7165" width="10.140625" style="203" customWidth="1"/>
    <col min="7166" max="7166" width="10.140625" style="203" bestFit="1" customWidth="1"/>
    <col min="7167" max="7167" width="14.5703125" style="203" bestFit="1" customWidth="1"/>
    <col min="7168" max="7169" width="12.85546875" style="203" bestFit="1" customWidth="1"/>
    <col min="7170" max="7170" width="11.42578125" style="203" customWidth="1"/>
    <col min="7171" max="7171" width="14.7109375" style="203" customWidth="1"/>
    <col min="7172" max="7172" width="11.85546875" style="203" bestFit="1" customWidth="1"/>
    <col min="7173" max="7174" width="9.85546875" style="203" bestFit="1" customWidth="1"/>
    <col min="7175" max="7176" width="9.140625" style="203"/>
    <col min="7177" max="7177" width="11.7109375" style="203" bestFit="1" customWidth="1"/>
    <col min="7178" max="7411" width="9.140625" style="203"/>
    <col min="7412" max="7412" width="4.28515625" style="203" customWidth="1"/>
    <col min="7413" max="7413" width="10.5703125" style="203" customWidth="1"/>
    <col min="7414" max="7414" width="12" style="203" customWidth="1"/>
    <col min="7415" max="7415" width="8.7109375" style="203" customWidth="1"/>
    <col min="7416" max="7416" width="7.28515625" style="203" customWidth="1"/>
    <col min="7417" max="7417" width="14.42578125" style="203" customWidth="1"/>
    <col min="7418" max="7418" width="7.140625" style="203" customWidth="1"/>
    <col min="7419" max="7419" width="7" style="203" customWidth="1"/>
    <col min="7420" max="7420" width="11.7109375" style="203" customWidth="1"/>
    <col min="7421" max="7421" width="10.140625" style="203" customWidth="1"/>
    <col min="7422" max="7422" width="10.140625" style="203" bestFit="1" customWidth="1"/>
    <col min="7423" max="7423" width="14.5703125" style="203" bestFit="1" customWidth="1"/>
    <col min="7424" max="7425" width="12.85546875" style="203" bestFit="1" customWidth="1"/>
    <col min="7426" max="7426" width="11.42578125" style="203" customWidth="1"/>
    <col min="7427" max="7427" width="14.7109375" style="203" customWidth="1"/>
    <col min="7428" max="7428" width="11.85546875" style="203" bestFit="1" customWidth="1"/>
    <col min="7429" max="7430" width="9.85546875" style="203" bestFit="1" customWidth="1"/>
    <col min="7431" max="7432" width="9.140625" style="203"/>
    <col min="7433" max="7433" width="11.7109375" style="203" bestFit="1" customWidth="1"/>
    <col min="7434" max="7667" width="9.140625" style="203"/>
    <col min="7668" max="7668" width="4.28515625" style="203" customWidth="1"/>
    <col min="7669" max="7669" width="10.5703125" style="203" customWidth="1"/>
    <col min="7670" max="7670" width="12" style="203" customWidth="1"/>
    <col min="7671" max="7671" width="8.7109375" style="203" customWidth="1"/>
    <col min="7672" max="7672" width="7.28515625" style="203" customWidth="1"/>
    <col min="7673" max="7673" width="14.42578125" style="203" customWidth="1"/>
    <col min="7674" max="7674" width="7.140625" style="203" customWidth="1"/>
    <col min="7675" max="7675" width="7" style="203" customWidth="1"/>
    <col min="7676" max="7676" width="11.7109375" style="203" customWidth="1"/>
    <col min="7677" max="7677" width="10.140625" style="203" customWidth="1"/>
    <col min="7678" max="7678" width="10.140625" style="203" bestFit="1" customWidth="1"/>
    <col min="7679" max="7679" width="14.5703125" style="203" bestFit="1" customWidth="1"/>
    <col min="7680" max="7681" width="12.85546875" style="203" bestFit="1" customWidth="1"/>
    <col min="7682" max="7682" width="11.42578125" style="203" customWidth="1"/>
    <col min="7683" max="7683" width="14.7109375" style="203" customWidth="1"/>
    <col min="7684" max="7684" width="11.85546875" style="203" bestFit="1" customWidth="1"/>
    <col min="7685" max="7686" width="9.85546875" style="203" bestFit="1" customWidth="1"/>
    <col min="7687" max="7688" width="9.140625" style="203"/>
    <col min="7689" max="7689" width="11.7109375" style="203" bestFit="1" customWidth="1"/>
    <col min="7690" max="7923" width="9.140625" style="203"/>
    <col min="7924" max="7924" width="4.28515625" style="203" customWidth="1"/>
    <col min="7925" max="7925" width="10.5703125" style="203" customWidth="1"/>
    <col min="7926" max="7926" width="12" style="203" customWidth="1"/>
    <col min="7927" max="7927" width="8.7109375" style="203" customWidth="1"/>
    <col min="7928" max="7928" width="7.28515625" style="203" customWidth="1"/>
    <col min="7929" max="7929" width="14.42578125" style="203" customWidth="1"/>
    <col min="7930" max="7930" width="7.140625" style="203" customWidth="1"/>
    <col min="7931" max="7931" width="7" style="203" customWidth="1"/>
    <col min="7932" max="7932" width="11.7109375" style="203" customWidth="1"/>
    <col min="7933" max="7933" width="10.140625" style="203" customWidth="1"/>
    <col min="7934" max="7934" width="10.140625" style="203" bestFit="1" customWidth="1"/>
    <col min="7935" max="7935" width="14.5703125" style="203" bestFit="1" customWidth="1"/>
    <col min="7936" max="7937" width="12.85546875" style="203" bestFit="1" customWidth="1"/>
    <col min="7938" max="7938" width="11.42578125" style="203" customWidth="1"/>
    <col min="7939" max="7939" width="14.7109375" style="203" customWidth="1"/>
    <col min="7940" max="7940" width="11.85546875" style="203" bestFit="1" customWidth="1"/>
    <col min="7941" max="7942" width="9.85546875" style="203" bestFit="1" customWidth="1"/>
    <col min="7943" max="7944" width="9.140625" style="203"/>
    <col min="7945" max="7945" width="11.7109375" style="203" bestFit="1" customWidth="1"/>
    <col min="7946" max="8179" width="9.140625" style="203"/>
    <col min="8180" max="8180" width="4.28515625" style="203" customWidth="1"/>
    <col min="8181" max="8181" width="10.5703125" style="203" customWidth="1"/>
    <col min="8182" max="8182" width="12" style="203" customWidth="1"/>
    <col min="8183" max="8183" width="8.7109375" style="203" customWidth="1"/>
    <col min="8184" max="8184" width="7.28515625" style="203" customWidth="1"/>
    <col min="8185" max="8185" width="14.42578125" style="203" customWidth="1"/>
    <col min="8186" max="8186" width="7.140625" style="203" customWidth="1"/>
    <col min="8187" max="8187" width="7" style="203" customWidth="1"/>
    <col min="8188" max="8188" width="11.7109375" style="203" customWidth="1"/>
    <col min="8189" max="8189" width="10.140625" style="203" customWidth="1"/>
    <col min="8190" max="8190" width="10.140625" style="203" bestFit="1" customWidth="1"/>
    <col min="8191" max="8191" width="14.5703125" style="203" bestFit="1" customWidth="1"/>
    <col min="8192" max="8193" width="12.85546875" style="203" bestFit="1" customWidth="1"/>
    <col min="8194" max="8194" width="11.42578125" style="203" customWidth="1"/>
    <col min="8195" max="8195" width="14.7109375" style="203" customWidth="1"/>
    <col min="8196" max="8196" width="11.85546875" style="203" bestFit="1" customWidth="1"/>
    <col min="8197" max="8198" width="9.85546875" style="203" bestFit="1" customWidth="1"/>
    <col min="8199" max="8200" width="9.140625" style="203"/>
    <col min="8201" max="8201" width="11.7109375" style="203" bestFit="1" customWidth="1"/>
    <col min="8202" max="8435" width="9.140625" style="203"/>
    <col min="8436" max="8436" width="4.28515625" style="203" customWidth="1"/>
    <col min="8437" max="8437" width="10.5703125" style="203" customWidth="1"/>
    <col min="8438" max="8438" width="12" style="203" customWidth="1"/>
    <col min="8439" max="8439" width="8.7109375" style="203" customWidth="1"/>
    <col min="8440" max="8440" width="7.28515625" style="203" customWidth="1"/>
    <col min="8441" max="8441" width="14.42578125" style="203" customWidth="1"/>
    <col min="8442" max="8442" width="7.140625" style="203" customWidth="1"/>
    <col min="8443" max="8443" width="7" style="203" customWidth="1"/>
    <col min="8444" max="8444" width="11.7109375" style="203" customWidth="1"/>
    <col min="8445" max="8445" width="10.140625" style="203" customWidth="1"/>
    <col min="8446" max="8446" width="10.140625" style="203" bestFit="1" customWidth="1"/>
    <col min="8447" max="8447" width="14.5703125" style="203" bestFit="1" customWidth="1"/>
    <col min="8448" max="8449" width="12.85546875" style="203" bestFit="1" customWidth="1"/>
    <col min="8450" max="8450" width="11.42578125" style="203" customWidth="1"/>
    <col min="8451" max="8451" width="14.7109375" style="203" customWidth="1"/>
    <col min="8452" max="8452" width="11.85546875" style="203" bestFit="1" customWidth="1"/>
    <col min="8453" max="8454" width="9.85546875" style="203" bestFit="1" customWidth="1"/>
    <col min="8455" max="8456" width="9.140625" style="203"/>
    <col min="8457" max="8457" width="11.7109375" style="203" bestFit="1" customWidth="1"/>
    <col min="8458" max="8691" width="9.140625" style="203"/>
    <col min="8692" max="8692" width="4.28515625" style="203" customWidth="1"/>
    <col min="8693" max="8693" width="10.5703125" style="203" customWidth="1"/>
    <col min="8694" max="8694" width="12" style="203" customWidth="1"/>
    <col min="8695" max="8695" width="8.7109375" style="203" customWidth="1"/>
    <col min="8696" max="8696" width="7.28515625" style="203" customWidth="1"/>
    <col min="8697" max="8697" width="14.42578125" style="203" customWidth="1"/>
    <col min="8698" max="8698" width="7.140625" style="203" customWidth="1"/>
    <col min="8699" max="8699" width="7" style="203" customWidth="1"/>
    <col min="8700" max="8700" width="11.7109375" style="203" customWidth="1"/>
    <col min="8701" max="8701" width="10.140625" style="203" customWidth="1"/>
    <col min="8702" max="8702" width="10.140625" style="203" bestFit="1" customWidth="1"/>
    <col min="8703" max="8703" width="14.5703125" style="203" bestFit="1" customWidth="1"/>
    <col min="8704" max="8705" width="12.85546875" style="203" bestFit="1" customWidth="1"/>
    <col min="8706" max="8706" width="11.42578125" style="203" customWidth="1"/>
    <col min="8707" max="8707" width="14.7109375" style="203" customWidth="1"/>
    <col min="8708" max="8708" width="11.85546875" style="203" bestFit="1" customWidth="1"/>
    <col min="8709" max="8710" width="9.85546875" style="203" bestFit="1" customWidth="1"/>
    <col min="8711" max="8712" width="9.140625" style="203"/>
    <col min="8713" max="8713" width="11.7109375" style="203" bestFit="1" customWidth="1"/>
    <col min="8714" max="8947" width="9.140625" style="203"/>
    <col min="8948" max="8948" width="4.28515625" style="203" customWidth="1"/>
    <col min="8949" max="8949" width="10.5703125" style="203" customWidth="1"/>
    <col min="8950" max="8950" width="12" style="203" customWidth="1"/>
    <col min="8951" max="8951" width="8.7109375" style="203" customWidth="1"/>
    <col min="8952" max="8952" width="7.28515625" style="203" customWidth="1"/>
    <col min="8953" max="8953" width="14.42578125" style="203" customWidth="1"/>
    <col min="8954" max="8954" width="7.140625" style="203" customWidth="1"/>
    <col min="8955" max="8955" width="7" style="203" customWidth="1"/>
    <col min="8956" max="8956" width="11.7109375" style="203" customWidth="1"/>
    <col min="8957" max="8957" width="10.140625" style="203" customWidth="1"/>
    <col min="8958" max="8958" width="10.140625" style="203" bestFit="1" customWidth="1"/>
    <col min="8959" max="8959" width="14.5703125" style="203" bestFit="1" customWidth="1"/>
    <col min="8960" max="8961" width="12.85546875" style="203" bestFit="1" customWidth="1"/>
    <col min="8962" max="8962" width="11.42578125" style="203" customWidth="1"/>
    <col min="8963" max="8963" width="14.7109375" style="203" customWidth="1"/>
    <col min="8964" max="8964" width="11.85546875" style="203" bestFit="1" customWidth="1"/>
    <col min="8965" max="8966" width="9.85546875" style="203" bestFit="1" customWidth="1"/>
    <col min="8967" max="8968" width="9.140625" style="203"/>
    <col min="8969" max="8969" width="11.7109375" style="203" bestFit="1" customWidth="1"/>
    <col min="8970" max="9203" width="9.140625" style="203"/>
    <col min="9204" max="9204" width="4.28515625" style="203" customWidth="1"/>
    <col min="9205" max="9205" width="10.5703125" style="203" customWidth="1"/>
    <col min="9206" max="9206" width="12" style="203" customWidth="1"/>
    <col min="9207" max="9207" width="8.7109375" style="203" customWidth="1"/>
    <col min="9208" max="9208" width="7.28515625" style="203" customWidth="1"/>
    <col min="9209" max="9209" width="14.42578125" style="203" customWidth="1"/>
    <col min="9210" max="9210" width="7.140625" style="203" customWidth="1"/>
    <col min="9211" max="9211" width="7" style="203" customWidth="1"/>
    <col min="9212" max="9212" width="11.7109375" style="203" customWidth="1"/>
    <col min="9213" max="9213" width="10.140625" style="203" customWidth="1"/>
    <col min="9214" max="9214" width="10.140625" style="203" bestFit="1" customWidth="1"/>
    <col min="9215" max="9215" width="14.5703125" style="203" bestFit="1" customWidth="1"/>
    <col min="9216" max="9217" width="12.85546875" style="203" bestFit="1" customWidth="1"/>
    <col min="9218" max="9218" width="11.42578125" style="203" customWidth="1"/>
    <col min="9219" max="9219" width="14.7109375" style="203" customWidth="1"/>
    <col min="9220" max="9220" width="11.85546875" style="203" bestFit="1" customWidth="1"/>
    <col min="9221" max="9222" width="9.85546875" style="203" bestFit="1" customWidth="1"/>
    <col min="9223" max="9224" width="9.140625" style="203"/>
    <col min="9225" max="9225" width="11.7109375" style="203" bestFit="1" customWidth="1"/>
    <col min="9226" max="9459" width="9.140625" style="203"/>
    <col min="9460" max="9460" width="4.28515625" style="203" customWidth="1"/>
    <col min="9461" max="9461" width="10.5703125" style="203" customWidth="1"/>
    <col min="9462" max="9462" width="12" style="203" customWidth="1"/>
    <col min="9463" max="9463" width="8.7109375" style="203" customWidth="1"/>
    <col min="9464" max="9464" width="7.28515625" style="203" customWidth="1"/>
    <col min="9465" max="9465" width="14.42578125" style="203" customWidth="1"/>
    <col min="9466" max="9466" width="7.140625" style="203" customWidth="1"/>
    <col min="9467" max="9467" width="7" style="203" customWidth="1"/>
    <col min="9468" max="9468" width="11.7109375" style="203" customWidth="1"/>
    <col min="9469" max="9469" width="10.140625" style="203" customWidth="1"/>
    <col min="9470" max="9470" width="10.140625" style="203" bestFit="1" customWidth="1"/>
    <col min="9471" max="9471" width="14.5703125" style="203" bestFit="1" customWidth="1"/>
    <col min="9472" max="9473" width="12.85546875" style="203" bestFit="1" customWidth="1"/>
    <col min="9474" max="9474" width="11.42578125" style="203" customWidth="1"/>
    <col min="9475" max="9475" width="14.7109375" style="203" customWidth="1"/>
    <col min="9476" max="9476" width="11.85546875" style="203" bestFit="1" customWidth="1"/>
    <col min="9477" max="9478" width="9.85546875" style="203" bestFit="1" customWidth="1"/>
    <col min="9479" max="9480" width="9.140625" style="203"/>
    <col min="9481" max="9481" width="11.7109375" style="203" bestFit="1" customWidth="1"/>
    <col min="9482" max="9715" width="9.140625" style="203"/>
    <col min="9716" max="9716" width="4.28515625" style="203" customWidth="1"/>
    <col min="9717" max="9717" width="10.5703125" style="203" customWidth="1"/>
    <col min="9718" max="9718" width="12" style="203" customWidth="1"/>
    <col min="9719" max="9719" width="8.7109375" style="203" customWidth="1"/>
    <col min="9720" max="9720" width="7.28515625" style="203" customWidth="1"/>
    <col min="9721" max="9721" width="14.42578125" style="203" customWidth="1"/>
    <col min="9722" max="9722" width="7.140625" style="203" customWidth="1"/>
    <col min="9723" max="9723" width="7" style="203" customWidth="1"/>
    <col min="9724" max="9724" width="11.7109375" style="203" customWidth="1"/>
    <col min="9725" max="9725" width="10.140625" style="203" customWidth="1"/>
    <col min="9726" max="9726" width="10.140625" style="203" bestFit="1" customWidth="1"/>
    <col min="9727" max="9727" width="14.5703125" style="203" bestFit="1" customWidth="1"/>
    <col min="9728" max="9729" width="12.85546875" style="203" bestFit="1" customWidth="1"/>
    <col min="9730" max="9730" width="11.42578125" style="203" customWidth="1"/>
    <col min="9731" max="9731" width="14.7109375" style="203" customWidth="1"/>
    <col min="9732" max="9732" width="11.85546875" style="203" bestFit="1" customWidth="1"/>
    <col min="9733" max="9734" width="9.85546875" style="203" bestFit="1" customWidth="1"/>
    <col min="9735" max="9736" width="9.140625" style="203"/>
    <col min="9737" max="9737" width="11.7109375" style="203" bestFit="1" customWidth="1"/>
    <col min="9738" max="9971" width="9.140625" style="203"/>
    <col min="9972" max="9972" width="4.28515625" style="203" customWidth="1"/>
    <col min="9973" max="9973" width="10.5703125" style="203" customWidth="1"/>
    <col min="9974" max="9974" width="12" style="203" customWidth="1"/>
    <col min="9975" max="9975" width="8.7109375" style="203" customWidth="1"/>
    <col min="9976" max="9976" width="7.28515625" style="203" customWidth="1"/>
    <col min="9977" max="9977" width="14.42578125" style="203" customWidth="1"/>
    <col min="9978" max="9978" width="7.140625" style="203" customWidth="1"/>
    <col min="9979" max="9979" width="7" style="203" customWidth="1"/>
    <col min="9980" max="9980" width="11.7109375" style="203" customWidth="1"/>
    <col min="9981" max="9981" width="10.140625" style="203" customWidth="1"/>
    <col min="9982" max="9982" width="10.140625" style="203" bestFit="1" customWidth="1"/>
    <col min="9983" max="9983" width="14.5703125" style="203" bestFit="1" customWidth="1"/>
    <col min="9984" max="9985" width="12.85546875" style="203" bestFit="1" customWidth="1"/>
    <col min="9986" max="9986" width="11.42578125" style="203" customWidth="1"/>
    <col min="9987" max="9987" width="14.7109375" style="203" customWidth="1"/>
    <col min="9988" max="9988" width="11.85546875" style="203" bestFit="1" customWidth="1"/>
    <col min="9989" max="9990" width="9.85546875" style="203" bestFit="1" customWidth="1"/>
    <col min="9991" max="9992" width="9.140625" style="203"/>
    <col min="9993" max="9993" width="11.7109375" style="203" bestFit="1" customWidth="1"/>
    <col min="9994" max="10227" width="9.140625" style="203"/>
    <col min="10228" max="10228" width="4.28515625" style="203" customWidth="1"/>
    <col min="10229" max="10229" width="10.5703125" style="203" customWidth="1"/>
    <col min="10230" max="10230" width="12" style="203" customWidth="1"/>
    <col min="10231" max="10231" width="8.7109375" style="203" customWidth="1"/>
    <col min="10232" max="10232" width="7.28515625" style="203" customWidth="1"/>
    <col min="10233" max="10233" width="14.42578125" style="203" customWidth="1"/>
    <col min="10234" max="10234" width="7.140625" style="203" customWidth="1"/>
    <col min="10235" max="10235" width="7" style="203" customWidth="1"/>
    <col min="10236" max="10236" width="11.7109375" style="203" customWidth="1"/>
    <col min="10237" max="10237" width="10.140625" style="203" customWidth="1"/>
    <col min="10238" max="10238" width="10.140625" style="203" bestFit="1" customWidth="1"/>
    <col min="10239" max="10239" width="14.5703125" style="203" bestFit="1" customWidth="1"/>
    <col min="10240" max="10241" width="12.85546875" style="203" bestFit="1" customWidth="1"/>
    <col min="10242" max="10242" width="11.42578125" style="203" customWidth="1"/>
    <col min="10243" max="10243" width="14.7109375" style="203" customWidth="1"/>
    <col min="10244" max="10244" width="11.85546875" style="203" bestFit="1" customWidth="1"/>
    <col min="10245" max="10246" width="9.85546875" style="203" bestFit="1" customWidth="1"/>
    <col min="10247" max="10248" width="9.140625" style="203"/>
    <col min="10249" max="10249" width="11.7109375" style="203" bestFit="1" customWidth="1"/>
    <col min="10250" max="10483" width="9.140625" style="203"/>
    <col min="10484" max="10484" width="4.28515625" style="203" customWidth="1"/>
    <col min="10485" max="10485" width="10.5703125" style="203" customWidth="1"/>
    <col min="10486" max="10486" width="12" style="203" customWidth="1"/>
    <col min="10487" max="10487" width="8.7109375" style="203" customWidth="1"/>
    <col min="10488" max="10488" width="7.28515625" style="203" customWidth="1"/>
    <col min="10489" max="10489" width="14.42578125" style="203" customWidth="1"/>
    <col min="10490" max="10490" width="7.140625" style="203" customWidth="1"/>
    <col min="10491" max="10491" width="7" style="203" customWidth="1"/>
    <col min="10492" max="10492" width="11.7109375" style="203" customWidth="1"/>
    <col min="10493" max="10493" width="10.140625" style="203" customWidth="1"/>
    <col min="10494" max="10494" width="10.140625" style="203" bestFit="1" customWidth="1"/>
    <col min="10495" max="10495" width="14.5703125" style="203" bestFit="1" customWidth="1"/>
    <col min="10496" max="10497" width="12.85546875" style="203" bestFit="1" customWidth="1"/>
    <col min="10498" max="10498" width="11.42578125" style="203" customWidth="1"/>
    <col min="10499" max="10499" width="14.7109375" style="203" customWidth="1"/>
    <col min="10500" max="10500" width="11.85546875" style="203" bestFit="1" customWidth="1"/>
    <col min="10501" max="10502" width="9.85546875" style="203" bestFit="1" customWidth="1"/>
    <col min="10503" max="10504" width="9.140625" style="203"/>
    <col min="10505" max="10505" width="11.7109375" style="203" bestFit="1" customWidth="1"/>
    <col min="10506" max="10739" width="9.140625" style="203"/>
    <col min="10740" max="10740" width="4.28515625" style="203" customWidth="1"/>
    <col min="10741" max="10741" width="10.5703125" style="203" customWidth="1"/>
    <col min="10742" max="10742" width="12" style="203" customWidth="1"/>
    <col min="10743" max="10743" width="8.7109375" style="203" customWidth="1"/>
    <col min="10744" max="10744" width="7.28515625" style="203" customWidth="1"/>
    <col min="10745" max="10745" width="14.42578125" style="203" customWidth="1"/>
    <col min="10746" max="10746" width="7.140625" style="203" customWidth="1"/>
    <col min="10747" max="10747" width="7" style="203" customWidth="1"/>
    <col min="10748" max="10748" width="11.7109375" style="203" customWidth="1"/>
    <col min="10749" max="10749" width="10.140625" style="203" customWidth="1"/>
    <col min="10750" max="10750" width="10.140625" style="203" bestFit="1" customWidth="1"/>
    <col min="10751" max="10751" width="14.5703125" style="203" bestFit="1" customWidth="1"/>
    <col min="10752" max="10753" width="12.85546875" style="203" bestFit="1" customWidth="1"/>
    <col min="10754" max="10754" width="11.42578125" style="203" customWidth="1"/>
    <col min="10755" max="10755" width="14.7109375" style="203" customWidth="1"/>
    <col min="10756" max="10756" width="11.85546875" style="203" bestFit="1" customWidth="1"/>
    <col min="10757" max="10758" width="9.85546875" style="203" bestFit="1" customWidth="1"/>
    <col min="10759" max="10760" width="9.140625" style="203"/>
    <col min="10761" max="10761" width="11.7109375" style="203" bestFit="1" customWidth="1"/>
    <col min="10762" max="10995" width="9.140625" style="203"/>
    <col min="10996" max="10996" width="4.28515625" style="203" customWidth="1"/>
    <col min="10997" max="10997" width="10.5703125" style="203" customWidth="1"/>
    <col min="10998" max="10998" width="12" style="203" customWidth="1"/>
    <col min="10999" max="10999" width="8.7109375" style="203" customWidth="1"/>
    <col min="11000" max="11000" width="7.28515625" style="203" customWidth="1"/>
    <col min="11001" max="11001" width="14.42578125" style="203" customWidth="1"/>
    <col min="11002" max="11002" width="7.140625" style="203" customWidth="1"/>
    <col min="11003" max="11003" width="7" style="203" customWidth="1"/>
    <col min="11004" max="11004" width="11.7109375" style="203" customWidth="1"/>
    <col min="11005" max="11005" width="10.140625" style="203" customWidth="1"/>
    <col min="11006" max="11006" width="10.140625" style="203" bestFit="1" customWidth="1"/>
    <col min="11007" max="11007" width="14.5703125" style="203" bestFit="1" customWidth="1"/>
    <col min="11008" max="11009" width="12.85546875" style="203" bestFit="1" customWidth="1"/>
    <col min="11010" max="11010" width="11.42578125" style="203" customWidth="1"/>
    <col min="11011" max="11011" width="14.7109375" style="203" customWidth="1"/>
    <col min="11012" max="11012" width="11.85546875" style="203" bestFit="1" customWidth="1"/>
    <col min="11013" max="11014" width="9.85546875" style="203" bestFit="1" customWidth="1"/>
    <col min="11015" max="11016" width="9.140625" style="203"/>
    <col min="11017" max="11017" width="11.7109375" style="203" bestFit="1" customWidth="1"/>
    <col min="11018" max="11251" width="9.140625" style="203"/>
    <col min="11252" max="11252" width="4.28515625" style="203" customWidth="1"/>
    <col min="11253" max="11253" width="10.5703125" style="203" customWidth="1"/>
    <col min="11254" max="11254" width="12" style="203" customWidth="1"/>
    <col min="11255" max="11255" width="8.7109375" style="203" customWidth="1"/>
    <col min="11256" max="11256" width="7.28515625" style="203" customWidth="1"/>
    <col min="11257" max="11257" width="14.42578125" style="203" customWidth="1"/>
    <col min="11258" max="11258" width="7.140625" style="203" customWidth="1"/>
    <col min="11259" max="11259" width="7" style="203" customWidth="1"/>
    <col min="11260" max="11260" width="11.7109375" style="203" customWidth="1"/>
    <col min="11261" max="11261" width="10.140625" style="203" customWidth="1"/>
    <col min="11262" max="11262" width="10.140625" style="203" bestFit="1" customWidth="1"/>
    <col min="11263" max="11263" width="14.5703125" style="203" bestFit="1" customWidth="1"/>
    <col min="11264" max="11265" width="12.85546875" style="203" bestFit="1" customWidth="1"/>
    <col min="11266" max="11266" width="11.42578125" style="203" customWidth="1"/>
    <col min="11267" max="11267" width="14.7109375" style="203" customWidth="1"/>
    <col min="11268" max="11268" width="11.85546875" style="203" bestFit="1" customWidth="1"/>
    <col min="11269" max="11270" width="9.85546875" style="203" bestFit="1" customWidth="1"/>
    <col min="11271" max="11272" width="9.140625" style="203"/>
    <col min="11273" max="11273" width="11.7109375" style="203" bestFit="1" customWidth="1"/>
    <col min="11274" max="11507" width="9.140625" style="203"/>
    <col min="11508" max="11508" width="4.28515625" style="203" customWidth="1"/>
    <col min="11509" max="11509" width="10.5703125" style="203" customWidth="1"/>
    <col min="11510" max="11510" width="12" style="203" customWidth="1"/>
    <col min="11511" max="11511" width="8.7109375" style="203" customWidth="1"/>
    <col min="11512" max="11512" width="7.28515625" style="203" customWidth="1"/>
    <col min="11513" max="11513" width="14.42578125" style="203" customWidth="1"/>
    <col min="11514" max="11514" width="7.140625" style="203" customWidth="1"/>
    <col min="11515" max="11515" width="7" style="203" customWidth="1"/>
    <col min="11516" max="11516" width="11.7109375" style="203" customWidth="1"/>
    <col min="11517" max="11517" width="10.140625" style="203" customWidth="1"/>
    <col min="11518" max="11518" width="10.140625" style="203" bestFit="1" customWidth="1"/>
    <col min="11519" max="11519" width="14.5703125" style="203" bestFit="1" customWidth="1"/>
    <col min="11520" max="11521" width="12.85546875" style="203" bestFit="1" customWidth="1"/>
    <col min="11522" max="11522" width="11.42578125" style="203" customWidth="1"/>
    <col min="11523" max="11523" width="14.7109375" style="203" customWidth="1"/>
    <col min="11524" max="11524" width="11.85546875" style="203" bestFit="1" customWidth="1"/>
    <col min="11525" max="11526" width="9.85546875" style="203" bestFit="1" customWidth="1"/>
    <col min="11527" max="11528" width="9.140625" style="203"/>
    <col min="11529" max="11529" width="11.7109375" style="203" bestFit="1" customWidth="1"/>
    <col min="11530" max="11763" width="9.140625" style="203"/>
    <col min="11764" max="11764" width="4.28515625" style="203" customWidth="1"/>
    <col min="11765" max="11765" width="10.5703125" style="203" customWidth="1"/>
    <col min="11766" max="11766" width="12" style="203" customWidth="1"/>
    <col min="11767" max="11767" width="8.7109375" style="203" customWidth="1"/>
    <col min="11768" max="11768" width="7.28515625" style="203" customWidth="1"/>
    <col min="11769" max="11769" width="14.42578125" style="203" customWidth="1"/>
    <col min="11770" max="11770" width="7.140625" style="203" customWidth="1"/>
    <col min="11771" max="11771" width="7" style="203" customWidth="1"/>
    <col min="11772" max="11772" width="11.7109375" style="203" customWidth="1"/>
    <col min="11773" max="11773" width="10.140625" style="203" customWidth="1"/>
    <col min="11774" max="11774" width="10.140625" style="203" bestFit="1" customWidth="1"/>
    <col min="11775" max="11775" width="14.5703125" style="203" bestFit="1" customWidth="1"/>
    <col min="11776" max="11777" width="12.85546875" style="203" bestFit="1" customWidth="1"/>
    <col min="11778" max="11778" width="11.42578125" style="203" customWidth="1"/>
    <col min="11779" max="11779" width="14.7109375" style="203" customWidth="1"/>
    <col min="11780" max="11780" width="11.85546875" style="203" bestFit="1" customWidth="1"/>
    <col min="11781" max="11782" width="9.85546875" style="203" bestFit="1" customWidth="1"/>
    <col min="11783" max="11784" width="9.140625" style="203"/>
    <col min="11785" max="11785" width="11.7109375" style="203" bestFit="1" customWidth="1"/>
    <col min="11786" max="12019" width="9.140625" style="203"/>
    <col min="12020" max="12020" width="4.28515625" style="203" customWidth="1"/>
    <col min="12021" max="12021" width="10.5703125" style="203" customWidth="1"/>
    <col min="12022" max="12022" width="12" style="203" customWidth="1"/>
    <col min="12023" max="12023" width="8.7109375" style="203" customWidth="1"/>
    <col min="12024" max="12024" width="7.28515625" style="203" customWidth="1"/>
    <col min="12025" max="12025" width="14.42578125" style="203" customWidth="1"/>
    <col min="12026" max="12026" width="7.140625" style="203" customWidth="1"/>
    <col min="12027" max="12027" width="7" style="203" customWidth="1"/>
    <col min="12028" max="12028" width="11.7109375" style="203" customWidth="1"/>
    <col min="12029" max="12029" width="10.140625" style="203" customWidth="1"/>
    <col min="12030" max="12030" width="10.140625" style="203" bestFit="1" customWidth="1"/>
    <col min="12031" max="12031" width="14.5703125" style="203" bestFit="1" customWidth="1"/>
    <col min="12032" max="12033" width="12.85546875" style="203" bestFit="1" customWidth="1"/>
    <col min="12034" max="12034" width="11.42578125" style="203" customWidth="1"/>
    <col min="12035" max="12035" width="14.7109375" style="203" customWidth="1"/>
    <col min="12036" max="12036" width="11.85546875" style="203" bestFit="1" customWidth="1"/>
    <col min="12037" max="12038" width="9.85546875" style="203" bestFit="1" customWidth="1"/>
    <col min="12039" max="12040" width="9.140625" style="203"/>
    <col min="12041" max="12041" width="11.7109375" style="203" bestFit="1" customWidth="1"/>
    <col min="12042" max="12275" width="9.140625" style="203"/>
    <col min="12276" max="12276" width="4.28515625" style="203" customWidth="1"/>
    <col min="12277" max="12277" width="10.5703125" style="203" customWidth="1"/>
    <col min="12278" max="12278" width="12" style="203" customWidth="1"/>
    <col min="12279" max="12279" width="8.7109375" style="203" customWidth="1"/>
    <col min="12280" max="12280" width="7.28515625" style="203" customWidth="1"/>
    <col min="12281" max="12281" width="14.42578125" style="203" customWidth="1"/>
    <col min="12282" max="12282" width="7.140625" style="203" customWidth="1"/>
    <col min="12283" max="12283" width="7" style="203" customWidth="1"/>
    <col min="12284" max="12284" width="11.7109375" style="203" customWidth="1"/>
    <col min="12285" max="12285" width="10.140625" style="203" customWidth="1"/>
    <col min="12286" max="12286" width="10.140625" style="203" bestFit="1" customWidth="1"/>
    <col min="12287" max="12287" width="14.5703125" style="203" bestFit="1" customWidth="1"/>
    <col min="12288" max="12289" width="12.85546875" style="203" bestFit="1" customWidth="1"/>
    <col min="12290" max="12290" width="11.42578125" style="203" customWidth="1"/>
    <col min="12291" max="12291" width="14.7109375" style="203" customWidth="1"/>
    <col min="12292" max="12292" width="11.85546875" style="203" bestFit="1" customWidth="1"/>
    <col min="12293" max="12294" width="9.85546875" style="203" bestFit="1" customWidth="1"/>
    <col min="12295" max="12296" width="9.140625" style="203"/>
    <col min="12297" max="12297" width="11.7109375" style="203" bestFit="1" customWidth="1"/>
    <col min="12298" max="12531" width="9.140625" style="203"/>
    <col min="12532" max="12532" width="4.28515625" style="203" customWidth="1"/>
    <col min="12533" max="12533" width="10.5703125" style="203" customWidth="1"/>
    <col min="12534" max="12534" width="12" style="203" customWidth="1"/>
    <col min="12535" max="12535" width="8.7109375" style="203" customWidth="1"/>
    <col min="12536" max="12536" width="7.28515625" style="203" customWidth="1"/>
    <col min="12537" max="12537" width="14.42578125" style="203" customWidth="1"/>
    <col min="12538" max="12538" width="7.140625" style="203" customWidth="1"/>
    <col min="12539" max="12539" width="7" style="203" customWidth="1"/>
    <col min="12540" max="12540" width="11.7109375" style="203" customWidth="1"/>
    <col min="12541" max="12541" width="10.140625" style="203" customWidth="1"/>
    <col min="12542" max="12542" width="10.140625" style="203" bestFit="1" customWidth="1"/>
    <col min="12543" max="12543" width="14.5703125" style="203" bestFit="1" customWidth="1"/>
    <col min="12544" max="12545" width="12.85546875" style="203" bestFit="1" customWidth="1"/>
    <col min="12546" max="12546" width="11.42578125" style="203" customWidth="1"/>
    <col min="12547" max="12547" width="14.7109375" style="203" customWidth="1"/>
    <col min="12548" max="12548" width="11.85546875" style="203" bestFit="1" customWidth="1"/>
    <col min="12549" max="12550" width="9.85546875" style="203" bestFit="1" customWidth="1"/>
    <col min="12551" max="12552" width="9.140625" style="203"/>
    <col min="12553" max="12553" width="11.7109375" style="203" bestFit="1" customWidth="1"/>
    <col min="12554" max="12787" width="9.140625" style="203"/>
    <col min="12788" max="12788" width="4.28515625" style="203" customWidth="1"/>
    <col min="12789" max="12789" width="10.5703125" style="203" customWidth="1"/>
    <col min="12790" max="12790" width="12" style="203" customWidth="1"/>
    <col min="12791" max="12791" width="8.7109375" style="203" customWidth="1"/>
    <col min="12792" max="12792" width="7.28515625" style="203" customWidth="1"/>
    <col min="12793" max="12793" width="14.42578125" style="203" customWidth="1"/>
    <col min="12794" max="12794" width="7.140625" style="203" customWidth="1"/>
    <col min="12795" max="12795" width="7" style="203" customWidth="1"/>
    <col min="12796" max="12796" width="11.7109375" style="203" customWidth="1"/>
    <col min="12797" max="12797" width="10.140625" style="203" customWidth="1"/>
    <col min="12798" max="12798" width="10.140625" style="203" bestFit="1" customWidth="1"/>
    <col min="12799" max="12799" width="14.5703125" style="203" bestFit="1" customWidth="1"/>
    <col min="12800" max="12801" width="12.85546875" style="203" bestFit="1" customWidth="1"/>
    <col min="12802" max="12802" width="11.42578125" style="203" customWidth="1"/>
    <col min="12803" max="12803" width="14.7109375" style="203" customWidth="1"/>
    <col min="12804" max="12804" width="11.85546875" style="203" bestFit="1" customWidth="1"/>
    <col min="12805" max="12806" width="9.85546875" style="203" bestFit="1" customWidth="1"/>
    <col min="12807" max="12808" width="9.140625" style="203"/>
    <col min="12809" max="12809" width="11.7109375" style="203" bestFit="1" customWidth="1"/>
    <col min="12810" max="13043" width="9.140625" style="203"/>
    <col min="13044" max="13044" width="4.28515625" style="203" customWidth="1"/>
    <col min="13045" max="13045" width="10.5703125" style="203" customWidth="1"/>
    <col min="13046" max="13046" width="12" style="203" customWidth="1"/>
    <col min="13047" max="13047" width="8.7109375" style="203" customWidth="1"/>
    <col min="13048" max="13048" width="7.28515625" style="203" customWidth="1"/>
    <col min="13049" max="13049" width="14.42578125" style="203" customWidth="1"/>
    <col min="13050" max="13050" width="7.140625" style="203" customWidth="1"/>
    <col min="13051" max="13051" width="7" style="203" customWidth="1"/>
    <col min="13052" max="13052" width="11.7109375" style="203" customWidth="1"/>
    <col min="13053" max="13053" width="10.140625" style="203" customWidth="1"/>
    <col min="13054" max="13054" width="10.140625" style="203" bestFit="1" customWidth="1"/>
    <col min="13055" max="13055" width="14.5703125" style="203" bestFit="1" customWidth="1"/>
    <col min="13056" max="13057" width="12.85546875" style="203" bestFit="1" customWidth="1"/>
    <col min="13058" max="13058" width="11.42578125" style="203" customWidth="1"/>
    <col min="13059" max="13059" width="14.7109375" style="203" customWidth="1"/>
    <col min="13060" max="13060" width="11.85546875" style="203" bestFit="1" customWidth="1"/>
    <col min="13061" max="13062" width="9.85546875" style="203" bestFit="1" customWidth="1"/>
    <col min="13063" max="13064" width="9.140625" style="203"/>
    <col min="13065" max="13065" width="11.7109375" style="203" bestFit="1" customWidth="1"/>
    <col min="13066" max="13299" width="9.140625" style="203"/>
    <col min="13300" max="13300" width="4.28515625" style="203" customWidth="1"/>
    <col min="13301" max="13301" width="10.5703125" style="203" customWidth="1"/>
    <col min="13302" max="13302" width="12" style="203" customWidth="1"/>
    <col min="13303" max="13303" width="8.7109375" style="203" customWidth="1"/>
    <col min="13304" max="13304" width="7.28515625" style="203" customWidth="1"/>
    <col min="13305" max="13305" width="14.42578125" style="203" customWidth="1"/>
    <col min="13306" max="13306" width="7.140625" style="203" customWidth="1"/>
    <col min="13307" max="13307" width="7" style="203" customWidth="1"/>
    <col min="13308" max="13308" width="11.7109375" style="203" customWidth="1"/>
    <col min="13309" max="13309" width="10.140625" style="203" customWidth="1"/>
    <col min="13310" max="13310" width="10.140625" style="203" bestFit="1" customWidth="1"/>
    <col min="13311" max="13311" width="14.5703125" style="203" bestFit="1" customWidth="1"/>
    <col min="13312" max="13313" width="12.85546875" style="203" bestFit="1" customWidth="1"/>
    <col min="13314" max="13314" width="11.42578125" style="203" customWidth="1"/>
    <col min="13315" max="13315" width="14.7109375" style="203" customWidth="1"/>
    <col min="13316" max="13316" width="11.85546875" style="203" bestFit="1" customWidth="1"/>
    <col min="13317" max="13318" width="9.85546875" style="203" bestFit="1" customWidth="1"/>
    <col min="13319" max="13320" width="9.140625" style="203"/>
    <col min="13321" max="13321" width="11.7109375" style="203" bestFit="1" customWidth="1"/>
    <col min="13322" max="13555" width="9.140625" style="203"/>
    <col min="13556" max="13556" width="4.28515625" style="203" customWidth="1"/>
    <col min="13557" max="13557" width="10.5703125" style="203" customWidth="1"/>
    <col min="13558" max="13558" width="12" style="203" customWidth="1"/>
    <col min="13559" max="13559" width="8.7109375" style="203" customWidth="1"/>
    <col min="13560" max="13560" width="7.28515625" style="203" customWidth="1"/>
    <col min="13561" max="13561" width="14.42578125" style="203" customWidth="1"/>
    <col min="13562" max="13562" width="7.140625" style="203" customWidth="1"/>
    <col min="13563" max="13563" width="7" style="203" customWidth="1"/>
    <col min="13564" max="13564" width="11.7109375" style="203" customWidth="1"/>
    <col min="13565" max="13565" width="10.140625" style="203" customWidth="1"/>
    <col min="13566" max="13566" width="10.140625" style="203" bestFit="1" customWidth="1"/>
    <col min="13567" max="13567" width="14.5703125" style="203" bestFit="1" customWidth="1"/>
    <col min="13568" max="13569" width="12.85546875" style="203" bestFit="1" customWidth="1"/>
    <col min="13570" max="13570" width="11.42578125" style="203" customWidth="1"/>
    <col min="13571" max="13571" width="14.7109375" style="203" customWidth="1"/>
    <col min="13572" max="13572" width="11.85546875" style="203" bestFit="1" customWidth="1"/>
    <col min="13573" max="13574" width="9.85546875" style="203" bestFit="1" customWidth="1"/>
    <col min="13575" max="13576" width="9.140625" style="203"/>
    <col min="13577" max="13577" width="11.7109375" style="203" bestFit="1" customWidth="1"/>
    <col min="13578" max="13811" width="9.140625" style="203"/>
    <col min="13812" max="13812" width="4.28515625" style="203" customWidth="1"/>
    <col min="13813" max="13813" width="10.5703125" style="203" customWidth="1"/>
    <col min="13814" max="13814" width="12" style="203" customWidth="1"/>
    <col min="13815" max="13815" width="8.7109375" style="203" customWidth="1"/>
    <col min="13816" max="13816" width="7.28515625" style="203" customWidth="1"/>
    <col min="13817" max="13817" width="14.42578125" style="203" customWidth="1"/>
    <col min="13818" max="13818" width="7.140625" style="203" customWidth="1"/>
    <col min="13819" max="13819" width="7" style="203" customWidth="1"/>
    <col min="13820" max="13820" width="11.7109375" style="203" customWidth="1"/>
    <col min="13821" max="13821" width="10.140625" style="203" customWidth="1"/>
    <col min="13822" max="13822" width="10.140625" style="203" bestFit="1" customWidth="1"/>
    <col min="13823" max="13823" width="14.5703125" style="203" bestFit="1" customWidth="1"/>
    <col min="13824" max="13825" width="12.85546875" style="203" bestFit="1" customWidth="1"/>
    <col min="13826" max="13826" width="11.42578125" style="203" customWidth="1"/>
    <col min="13827" max="13827" width="14.7109375" style="203" customWidth="1"/>
    <col min="13828" max="13828" width="11.85546875" style="203" bestFit="1" customWidth="1"/>
    <col min="13829" max="13830" width="9.85546875" style="203" bestFit="1" customWidth="1"/>
    <col min="13831" max="13832" width="9.140625" style="203"/>
    <col min="13833" max="13833" width="11.7109375" style="203" bestFit="1" customWidth="1"/>
    <col min="13834" max="14067" width="9.140625" style="203"/>
    <col min="14068" max="14068" width="4.28515625" style="203" customWidth="1"/>
    <col min="14069" max="14069" width="10.5703125" style="203" customWidth="1"/>
    <col min="14070" max="14070" width="12" style="203" customWidth="1"/>
    <col min="14071" max="14071" width="8.7109375" style="203" customWidth="1"/>
    <col min="14072" max="14072" width="7.28515625" style="203" customWidth="1"/>
    <col min="14073" max="14073" width="14.42578125" style="203" customWidth="1"/>
    <col min="14074" max="14074" width="7.140625" style="203" customWidth="1"/>
    <col min="14075" max="14075" width="7" style="203" customWidth="1"/>
    <col min="14076" max="14076" width="11.7109375" style="203" customWidth="1"/>
    <col min="14077" max="14077" width="10.140625" style="203" customWidth="1"/>
    <col min="14078" max="14078" width="10.140625" style="203" bestFit="1" customWidth="1"/>
    <col min="14079" max="14079" width="14.5703125" style="203" bestFit="1" customWidth="1"/>
    <col min="14080" max="14081" width="12.85546875" style="203" bestFit="1" customWidth="1"/>
    <col min="14082" max="14082" width="11.42578125" style="203" customWidth="1"/>
    <col min="14083" max="14083" width="14.7109375" style="203" customWidth="1"/>
    <col min="14084" max="14084" width="11.85546875" style="203" bestFit="1" customWidth="1"/>
    <col min="14085" max="14086" width="9.85546875" style="203" bestFit="1" customWidth="1"/>
    <col min="14087" max="14088" width="9.140625" style="203"/>
    <col min="14089" max="14089" width="11.7109375" style="203" bestFit="1" customWidth="1"/>
    <col min="14090" max="14323" width="9.140625" style="203"/>
    <col min="14324" max="14324" width="4.28515625" style="203" customWidth="1"/>
    <col min="14325" max="14325" width="10.5703125" style="203" customWidth="1"/>
    <col min="14326" max="14326" width="12" style="203" customWidth="1"/>
    <col min="14327" max="14327" width="8.7109375" style="203" customWidth="1"/>
    <col min="14328" max="14328" width="7.28515625" style="203" customWidth="1"/>
    <col min="14329" max="14329" width="14.42578125" style="203" customWidth="1"/>
    <col min="14330" max="14330" width="7.140625" style="203" customWidth="1"/>
    <col min="14331" max="14331" width="7" style="203" customWidth="1"/>
    <col min="14332" max="14332" width="11.7109375" style="203" customWidth="1"/>
    <col min="14333" max="14333" width="10.140625" style="203" customWidth="1"/>
    <col min="14334" max="14334" width="10.140625" style="203" bestFit="1" customWidth="1"/>
    <col min="14335" max="14335" width="14.5703125" style="203" bestFit="1" customWidth="1"/>
    <col min="14336" max="14337" width="12.85546875" style="203" bestFit="1" customWidth="1"/>
    <col min="14338" max="14338" width="11.42578125" style="203" customWidth="1"/>
    <col min="14339" max="14339" width="14.7109375" style="203" customWidth="1"/>
    <col min="14340" max="14340" width="11.85546875" style="203" bestFit="1" customWidth="1"/>
    <col min="14341" max="14342" width="9.85546875" style="203" bestFit="1" customWidth="1"/>
    <col min="14343" max="14344" width="9.140625" style="203"/>
    <col min="14345" max="14345" width="11.7109375" style="203" bestFit="1" customWidth="1"/>
    <col min="14346" max="14579" width="9.140625" style="203"/>
    <col min="14580" max="14580" width="4.28515625" style="203" customWidth="1"/>
    <col min="14581" max="14581" width="10.5703125" style="203" customWidth="1"/>
    <col min="14582" max="14582" width="12" style="203" customWidth="1"/>
    <col min="14583" max="14583" width="8.7109375" style="203" customWidth="1"/>
    <col min="14584" max="14584" width="7.28515625" style="203" customWidth="1"/>
    <col min="14585" max="14585" width="14.42578125" style="203" customWidth="1"/>
    <col min="14586" max="14586" width="7.140625" style="203" customWidth="1"/>
    <col min="14587" max="14587" width="7" style="203" customWidth="1"/>
    <col min="14588" max="14588" width="11.7109375" style="203" customWidth="1"/>
    <col min="14589" max="14589" width="10.140625" style="203" customWidth="1"/>
    <col min="14590" max="14590" width="10.140625" style="203" bestFit="1" customWidth="1"/>
    <col min="14591" max="14591" width="14.5703125" style="203" bestFit="1" customWidth="1"/>
    <col min="14592" max="14593" width="12.85546875" style="203" bestFit="1" customWidth="1"/>
    <col min="14594" max="14594" width="11.42578125" style="203" customWidth="1"/>
    <col min="14595" max="14595" width="14.7109375" style="203" customWidth="1"/>
    <col min="14596" max="14596" width="11.85546875" style="203" bestFit="1" customWidth="1"/>
    <col min="14597" max="14598" width="9.85546875" style="203" bestFit="1" customWidth="1"/>
    <col min="14599" max="14600" width="9.140625" style="203"/>
    <col min="14601" max="14601" width="11.7109375" style="203" bestFit="1" customWidth="1"/>
    <col min="14602" max="14835" width="9.140625" style="203"/>
    <col min="14836" max="14836" width="4.28515625" style="203" customWidth="1"/>
    <col min="14837" max="14837" width="10.5703125" style="203" customWidth="1"/>
    <col min="14838" max="14838" width="12" style="203" customWidth="1"/>
    <col min="14839" max="14839" width="8.7109375" style="203" customWidth="1"/>
    <col min="14840" max="14840" width="7.28515625" style="203" customWidth="1"/>
    <col min="14841" max="14841" width="14.42578125" style="203" customWidth="1"/>
    <col min="14842" max="14842" width="7.140625" style="203" customWidth="1"/>
    <col min="14843" max="14843" width="7" style="203" customWidth="1"/>
    <col min="14844" max="14844" width="11.7109375" style="203" customWidth="1"/>
    <col min="14845" max="14845" width="10.140625" style="203" customWidth="1"/>
    <col min="14846" max="14846" width="10.140625" style="203" bestFit="1" customWidth="1"/>
    <col min="14847" max="14847" width="14.5703125" style="203" bestFit="1" customWidth="1"/>
    <col min="14848" max="14849" width="12.85546875" style="203" bestFit="1" customWidth="1"/>
    <col min="14850" max="14850" width="11.42578125" style="203" customWidth="1"/>
    <col min="14851" max="14851" width="14.7109375" style="203" customWidth="1"/>
    <col min="14852" max="14852" width="11.85546875" style="203" bestFit="1" customWidth="1"/>
    <col min="14853" max="14854" width="9.85546875" style="203" bestFit="1" customWidth="1"/>
    <col min="14855" max="14856" width="9.140625" style="203"/>
    <col min="14857" max="14857" width="11.7109375" style="203" bestFit="1" customWidth="1"/>
    <col min="14858" max="15091" width="9.140625" style="203"/>
    <col min="15092" max="15092" width="4.28515625" style="203" customWidth="1"/>
    <col min="15093" max="15093" width="10.5703125" style="203" customWidth="1"/>
    <col min="15094" max="15094" width="12" style="203" customWidth="1"/>
    <col min="15095" max="15095" width="8.7109375" style="203" customWidth="1"/>
    <col min="15096" max="15096" width="7.28515625" style="203" customWidth="1"/>
    <col min="15097" max="15097" width="14.42578125" style="203" customWidth="1"/>
    <col min="15098" max="15098" width="7.140625" style="203" customWidth="1"/>
    <col min="15099" max="15099" width="7" style="203" customWidth="1"/>
    <col min="15100" max="15100" width="11.7109375" style="203" customWidth="1"/>
    <col min="15101" max="15101" width="10.140625" style="203" customWidth="1"/>
    <col min="15102" max="15102" width="10.140625" style="203" bestFit="1" customWidth="1"/>
    <col min="15103" max="15103" width="14.5703125" style="203" bestFit="1" customWidth="1"/>
    <col min="15104" max="15105" width="12.85546875" style="203" bestFit="1" customWidth="1"/>
    <col min="15106" max="15106" width="11.42578125" style="203" customWidth="1"/>
    <col min="15107" max="15107" width="14.7109375" style="203" customWidth="1"/>
    <col min="15108" max="15108" width="11.85546875" style="203" bestFit="1" customWidth="1"/>
    <col min="15109" max="15110" width="9.85546875" style="203" bestFit="1" customWidth="1"/>
    <col min="15111" max="15112" width="9.140625" style="203"/>
    <col min="15113" max="15113" width="11.7109375" style="203" bestFit="1" customWidth="1"/>
    <col min="15114" max="15347" width="9.140625" style="203"/>
    <col min="15348" max="15348" width="4.28515625" style="203" customWidth="1"/>
    <col min="15349" max="15349" width="10.5703125" style="203" customWidth="1"/>
    <col min="15350" max="15350" width="12" style="203" customWidth="1"/>
    <col min="15351" max="15351" width="8.7109375" style="203" customWidth="1"/>
    <col min="15352" max="15352" width="7.28515625" style="203" customWidth="1"/>
    <col min="15353" max="15353" width="14.42578125" style="203" customWidth="1"/>
    <col min="15354" max="15354" width="7.140625" style="203" customWidth="1"/>
    <col min="15355" max="15355" width="7" style="203" customWidth="1"/>
    <col min="15356" max="15356" width="11.7109375" style="203" customWidth="1"/>
    <col min="15357" max="15357" width="10.140625" style="203" customWidth="1"/>
    <col min="15358" max="15358" width="10.140625" style="203" bestFit="1" customWidth="1"/>
    <col min="15359" max="15359" width="14.5703125" style="203" bestFit="1" customWidth="1"/>
    <col min="15360" max="15361" width="12.85546875" style="203" bestFit="1" customWidth="1"/>
    <col min="15362" max="15362" width="11.42578125" style="203" customWidth="1"/>
    <col min="15363" max="15363" width="14.7109375" style="203" customWidth="1"/>
    <col min="15364" max="15364" width="11.85546875" style="203" bestFit="1" customWidth="1"/>
    <col min="15365" max="15366" width="9.85546875" style="203" bestFit="1" customWidth="1"/>
    <col min="15367" max="15368" width="9.140625" style="203"/>
    <col min="15369" max="15369" width="11.7109375" style="203" bestFit="1" customWidth="1"/>
    <col min="15370" max="15603" width="9.140625" style="203"/>
    <col min="15604" max="15604" width="4.28515625" style="203" customWidth="1"/>
    <col min="15605" max="15605" width="10.5703125" style="203" customWidth="1"/>
    <col min="15606" max="15606" width="12" style="203" customWidth="1"/>
    <col min="15607" max="15607" width="8.7109375" style="203" customWidth="1"/>
    <col min="15608" max="15608" width="7.28515625" style="203" customWidth="1"/>
    <col min="15609" max="15609" width="14.42578125" style="203" customWidth="1"/>
    <col min="15610" max="15610" width="7.140625" style="203" customWidth="1"/>
    <col min="15611" max="15611" width="7" style="203" customWidth="1"/>
    <col min="15612" max="15612" width="11.7109375" style="203" customWidth="1"/>
    <col min="15613" max="15613" width="10.140625" style="203" customWidth="1"/>
    <col min="15614" max="15614" width="10.140625" style="203" bestFit="1" customWidth="1"/>
    <col min="15615" max="15615" width="14.5703125" style="203" bestFit="1" customWidth="1"/>
    <col min="15616" max="15617" width="12.85546875" style="203" bestFit="1" customWidth="1"/>
    <col min="15618" max="15618" width="11.42578125" style="203" customWidth="1"/>
    <col min="15619" max="15619" width="14.7109375" style="203" customWidth="1"/>
    <col min="15620" max="15620" width="11.85546875" style="203" bestFit="1" customWidth="1"/>
    <col min="15621" max="15622" width="9.85546875" style="203" bestFit="1" customWidth="1"/>
    <col min="15623" max="15624" width="9.140625" style="203"/>
    <col min="15625" max="15625" width="11.7109375" style="203" bestFit="1" customWidth="1"/>
    <col min="15626" max="15859" width="9.140625" style="203"/>
    <col min="15860" max="15860" width="4.28515625" style="203" customWidth="1"/>
    <col min="15861" max="15861" width="10.5703125" style="203" customWidth="1"/>
    <col min="15862" max="15862" width="12" style="203" customWidth="1"/>
    <col min="15863" max="15863" width="8.7109375" style="203" customWidth="1"/>
    <col min="15864" max="15864" width="7.28515625" style="203" customWidth="1"/>
    <col min="15865" max="15865" width="14.42578125" style="203" customWidth="1"/>
    <col min="15866" max="15866" width="7.140625" style="203" customWidth="1"/>
    <col min="15867" max="15867" width="7" style="203" customWidth="1"/>
    <col min="15868" max="15868" width="11.7109375" style="203" customWidth="1"/>
    <col min="15869" max="15869" width="10.140625" style="203" customWidth="1"/>
    <col min="15870" max="15870" width="10.140625" style="203" bestFit="1" customWidth="1"/>
    <col min="15871" max="15871" width="14.5703125" style="203" bestFit="1" customWidth="1"/>
    <col min="15872" max="15873" width="12.85546875" style="203" bestFit="1" customWidth="1"/>
    <col min="15874" max="15874" width="11.42578125" style="203" customWidth="1"/>
    <col min="15875" max="15875" width="14.7109375" style="203" customWidth="1"/>
    <col min="15876" max="15876" width="11.85546875" style="203" bestFit="1" customWidth="1"/>
    <col min="15877" max="15878" width="9.85546875" style="203" bestFit="1" customWidth="1"/>
    <col min="15879" max="15880" width="9.140625" style="203"/>
    <col min="15881" max="15881" width="11.7109375" style="203" bestFit="1" customWidth="1"/>
    <col min="15882" max="16115" width="9.140625" style="203"/>
    <col min="16116" max="16116" width="4.28515625" style="203" customWidth="1"/>
    <col min="16117" max="16117" width="10.5703125" style="203" customWidth="1"/>
    <col min="16118" max="16118" width="12" style="203" customWidth="1"/>
    <col min="16119" max="16119" width="8.7109375" style="203" customWidth="1"/>
    <col min="16120" max="16120" width="7.28515625" style="203" customWidth="1"/>
    <col min="16121" max="16121" width="14.42578125" style="203" customWidth="1"/>
    <col min="16122" max="16122" width="7.140625" style="203" customWidth="1"/>
    <col min="16123" max="16123" width="7" style="203" customWidth="1"/>
    <col min="16124" max="16124" width="11.7109375" style="203" customWidth="1"/>
    <col min="16125" max="16125" width="10.140625" style="203" customWidth="1"/>
    <col min="16126" max="16126" width="10.140625" style="203" bestFit="1" customWidth="1"/>
    <col min="16127" max="16127" width="14.5703125" style="203" bestFit="1" customWidth="1"/>
    <col min="16128" max="16129" width="12.85546875" style="203" bestFit="1" customWidth="1"/>
    <col min="16130" max="16130" width="11.42578125" style="203" customWidth="1"/>
    <col min="16131" max="16131" width="14.7109375" style="203" customWidth="1"/>
    <col min="16132" max="16132" width="11.85546875" style="203" bestFit="1" customWidth="1"/>
    <col min="16133" max="16134" width="9.85546875" style="203" bestFit="1" customWidth="1"/>
    <col min="16135" max="16136" width="9.140625" style="203"/>
    <col min="16137" max="16137" width="11.7109375" style="203" bestFit="1" customWidth="1"/>
    <col min="16138" max="16384" width="9.140625" style="203"/>
  </cols>
  <sheetData>
    <row r="1" spans="1:11" ht="31.5" customHeight="1" x14ac:dyDescent="0.25">
      <c r="A1" s="1142" t="s">
        <v>127</v>
      </c>
      <c r="B1" s="1142"/>
      <c r="C1" s="1142"/>
      <c r="D1" s="1142"/>
      <c r="E1" s="1142"/>
      <c r="F1" s="1142"/>
      <c r="G1" s="1142"/>
      <c r="H1" s="1142"/>
      <c r="I1" s="1142"/>
    </row>
    <row r="2" spans="1:11" x14ac:dyDescent="0.25">
      <c r="A2" s="714"/>
      <c r="B2" s="714"/>
      <c r="C2" s="714"/>
      <c r="D2" s="714"/>
      <c r="E2" s="714"/>
      <c r="F2" s="714"/>
      <c r="G2" s="714"/>
      <c r="H2" s="714"/>
      <c r="I2" s="776"/>
      <c r="J2" s="218"/>
    </row>
    <row r="3" spans="1:11" ht="15.75" x14ac:dyDescent="0.25">
      <c r="A3" s="1192" t="s">
        <v>384</v>
      </c>
      <c r="B3" s="1192"/>
      <c r="C3" s="1192"/>
      <c r="D3" s="1192"/>
      <c r="E3" s="1192"/>
      <c r="F3" s="1192"/>
      <c r="G3" s="1192"/>
      <c r="H3" s="1192"/>
      <c r="I3" s="1192"/>
    </row>
    <row r="4" spans="1:11" ht="15" customHeight="1" x14ac:dyDescent="0.25">
      <c r="A4" s="1144" t="str">
        <f>'СВОД смет'!A7:H7</f>
        <v>на 2020 год</v>
      </c>
      <c r="B4" s="1144"/>
      <c r="C4" s="1144"/>
      <c r="D4" s="1144"/>
      <c r="E4" s="1144"/>
      <c r="F4" s="1144"/>
      <c r="G4" s="1144"/>
      <c r="H4" s="1144"/>
      <c r="I4" s="1144"/>
    </row>
    <row r="6" spans="1:11" x14ac:dyDescent="0.25">
      <c r="A6" s="1201" t="s">
        <v>824</v>
      </c>
      <c r="B6" s="1201"/>
      <c r="C6" s="1201"/>
      <c r="D6" s="1201"/>
      <c r="E6" s="1201"/>
      <c r="F6" s="1201"/>
      <c r="G6" s="1201"/>
      <c r="H6" s="1201"/>
      <c r="I6" s="1201"/>
      <c r="J6" s="820"/>
    </row>
    <row r="7" spans="1:11" x14ac:dyDescent="0.25">
      <c r="A7" s="1155" t="s">
        <v>437</v>
      </c>
      <c r="B7" s="1155"/>
      <c r="C7" s="1155"/>
      <c r="D7" s="1155"/>
      <c r="E7" s="1155"/>
      <c r="F7" s="1155"/>
      <c r="G7" s="1155"/>
      <c r="H7" s="1155"/>
      <c r="I7" s="1155"/>
    </row>
    <row r="8" spans="1:11" ht="30" customHeight="1" x14ac:dyDescent="0.25">
      <c r="A8" s="710" t="s">
        <v>258</v>
      </c>
      <c r="B8" s="717" t="s">
        <v>492</v>
      </c>
      <c r="C8" s="711" t="s">
        <v>343</v>
      </c>
      <c r="D8" s="710" t="s">
        <v>389</v>
      </c>
      <c r="E8" s="710" t="s">
        <v>410</v>
      </c>
      <c r="F8" s="718" t="s">
        <v>496</v>
      </c>
      <c r="G8" s="710" t="s">
        <v>438</v>
      </c>
      <c r="H8" s="254" t="s">
        <v>467</v>
      </c>
      <c r="I8" s="710" t="s">
        <v>402</v>
      </c>
    </row>
    <row r="9" spans="1:11" x14ac:dyDescent="0.25">
      <c r="A9" s="708">
        <v>1</v>
      </c>
      <c r="B9" s="721">
        <v>2</v>
      </c>
      <c r="C9" s="708">
        <v>3</v>
      </c>
      <c r="D9" s="708">
        <v>4</v>
      </c>
      <c r="E9" s="708">
        <v>5</v>
      </c>
      <c r="F9" s="721">
        <v>6</v>
      </c>
      <c r="G9" s="708">
        <v>7</v>
      </c>
      <c r="H9" s="713">
        <v>8</v>
      </c>
      <c r="I9" s="708">
        <v>9</v>
      </c>
      <c r="K9" s="915"/>
    </row>
    <row r="10" spans="1:11" x14ac:dyDescent="0.25">
      <c r="A10" s="1195">
        <v>2</v>
      </c>
      <c r="B10" s="1197" t="s">
        <v>468</v>
      </c>
      <c r="C10" s="1199">
        <v>223</v>
      </c>
      <c r="D10" s="1199">
        <v>721</v>
      </c>
      <c r="E10" s="1199" t="s">
        <v>439</v>
      </c>
      <c r="F10" s="720">
        <v>173.6</v>
      </c>
      <c r="G10" s="709">
        <v>1389.42</v>
      </c>
      <c r="H10" s="263">
        <f t="shared" ref="H10:H19" si="0">F10*G10</f>
        <v>241203.31200000001</v>
      </c>
      <c r="I10" s="1193">
        <f>ROUND((H10+H11)/1000,1)</f>
        <v>435.3</v>
      </c>
      <c r="J10" s="505"/>
    </row>
    <row r="11" spans="1:11" x14ac:dyDescent="0.25">
      <c r="A11" s="1196"/>
      <c r="B11" s="1198"/>
      <c r="C11" s="1200"/>
      <c r="D11" s="1200"/>
      <c r="E11" s="1200"/>
      <c r="F11" s="720">
        <v>136.4</v>
      </c>
      <c r="G11" s="709">
        <v>1422.77</v>
      </c>
      <c r="H11" s="263">
        <f t="shared" si="0"/>
        <v>194065.82800000001</v>
      </c>
      <c r="I11" s="1194"/>
      <c r="J11" s="505"/>
    </row>
    <row r="12" spans="1:11" ht="15" customHeight="1" x14ac:dyDescent="0.25">
      <c r="A12" s="1172">
        <v>3</v>
      </c>
      <c r="B12" s="1167" t="s">
        <v>764</v>
      </c>
      <c r="C12" s="1159">
        <v>223</v>
      </c>
      <c r="D12" s="1189">
        <v>721</v>
      </c>
      <c r="E12" s="1189" t="s">
        <v>439</v>
      </c>
      <c r="F12" s="719">
        <v>67.2</v>
      </c>
      <c r="G12" s="685">
        <f>ROUND(14065.72*1.2,2)</f>
        <v>16878.86</v>
      </c>
      <c r="H12" s="260">
        <f>F12*G12</f>
        <v>1134259.392</v>
      </c>
      <c r="I12" s="1190">
        <f t="shared" ref="I12" si="1">ROUND((H12+H13)/1000,1)</f>
        <v>2058</v>
      </c>
      <c r="J12" s="505"/>
    </row>
    <row r="13" spans="1:11" s="218" customFormat="1" x14ac:dyDescent="0.25">
      <c r="A13" s="1172"/>
      <c r="B13" s="1167"/>
      <c r="C13" s="1159"/>
      <c r="D13" s="1189"/>
      <c r="E13" s="1189"/>
      <c r="F13" s="719">
        <v>52.8</v>
      </c>
      <c r="G13" s="685">
        <v>17494.939999999999</v>
      </c>
      <c r="H13" s="260">
        <f t="shared" si="0"/>
        <v>923732.83199999994</v>
      </c>
      <c r="I13" s="1191"/>
      <c r="J13" s="505"/>
    </row>
    <row r="14" spans="1:11" x14ac:dyDescent="0.25">
      <c r="A14" s="1172">
        <v>4</v>
      </c>
      <c r="B14" s="1167" t="s">
        <v>795</v>
      </c>
      <c r="C14" s="1159">
        <v>223</v>
      </c>
      <c r="D14" s="1189">
        <v>730</v>
      </c>
      <c r="E14" s="1189" t="s">
        <v>469</v>
      </c>
      <c r="F14" s="719">
        <v>4050</v>
      </c>
      <c r="G14" s="685">
        <v>52.94</v>
      </c>
      <c r="H14" s="260">
        <f t="shared" si="0"/>
        <v>214407</v>
      </c>
      <c r="I14" s="1190">
        <f t="shared" ref="I14" si="2">ROUND((H14+H15)/1000,1)</f>
        <v>408.4</v>
      </c>
      <c r="J14" s="505"/>
    </row>
    <row r="15" spans="1:11" x14ac:dyDescent="0.25">
      <c r="A15" s="1172"/>
      <c r="B15" s="1167"/>
      <c r="C15" s="1159"/>
      <c r="D15" s="1189"/>
      <c r="E15" s="1189"/>
      <c r="F15" s="719">
        <v>3450</v>
      </c>
      <c r="G15" s="685">
        <v>56.23</v>
      </c>
      <c r="H15" s="260">
        <f t="shared" si="0"/>
        <v>193993.5</v>
      </c>
      <c r="I15" s="1191"/>
      <c r="J15" s="505"/>
    </row>
    <row r="16" spans="1:11" ht="15" customHeight="1" x14ac:dyDescent="0.25">
      <c r="A16" s="1172">
        <v>5</v>
      </c>
      <c r="B16" s="1167" t="s">
        <v>765</v>
      </c>
      <c r="C16" s="1159">
        <v>223</v>
      </c>
      <c r="D16" s="1189">
        <v>740</v>
      </c>
      <c r="E16" s="1189" t="s">
        <v>440</v>
      </c>
      <c r="F16" s="719">
        <v>6.63</v>
      </c>
      <c r="G16" s="685">
        <v>4073.03</v>
      </c>
      <c r="H16" s="260">
        <f t="shared" si="0"/>
        <v>27004.188900000001</v>
      </c>
      <c r="I16" s="1190">
        <f t="shared" ref="I16" si="3">ROUND((H16+H17)/1000,1)</f>
        <v>48.6</v>
      </c>
      <c r="J16" s="505"/>
    </row>
    <row r="17" spans="1:18" x14ac:dyDescent="0.25">
      <c r="A17" s="1172"/>
      <c r="B17" s="1167"/>
      <c r="C17" s="1159"/>
      <c r="D17" s="1189"/>
      <c r="E17" s="1189"/>
      <c r="F17" s="719">
        <v>5.21</v>
      </c>
      <c r="G17" s="656">
        <v>4154</v>
      </c>
      <c r="H17" s="260">
        <f t="shared" si="0"/>
        <v>21642.34</v>
      </c>
      <c r="I17" s="1191"/>
      <c r="J17" s="505"/>
    </row>
    <row r="18" spans="1:18" ht="15" customHeight="1" x14ac:dyDescent="0.25">
      <c r="A18" s="1172">
        <v>6</v>
      </c>
      <c r="B18" s="1167" t="s">
        <v>766</v>
      </c>
      <c r="C18" s="1159">
        <v>223</v>
      </c>
      <c r="D18" s="1189">
        <v>740</v>
      </c>
      <c r="E18" s="1189" t="s">
        <v>440</v>
      </c>
      <c r="F18" s="719">
        <v>6.63</v>
      </c>
      <c r="G18" s="685">
        <v>31.26</v>
      </c>
      <c r="H18" s="260">
        <f t="shared" si="0"/>
        <v>207.25380000000001</v>
      </c>
      <c r="I18" s="1190">
        <f t="shared" ref="I18" si="4">ROUND((H18+H19)/1000,1)</f>
        <v>0.4</v>
      </c>
      <c r="J18" s="505"/>
    </row>
    <row r="19" spans="1:18" x14ac:dyDescent="0.25">
      <c r="A19" s="1172"/>
      <c r="B19" s="1167"/>
      <c r="C19" s="1159"/>
      <c r="D19" s="1189"/>
      <c r="E19" s="1189"/>
      <c r="F19" s="719">
        <v>5.21</v>
      </c>
      <c r="G19" s="656">
        <v>32.6</v>
      </c>
      <c r="H19" s="260">
        <f t="shared" si="0"/>
        <v>169.846</v>
      </c>
      <c r="I19" s="1191"/>
      <c r="J19" s="505"/>
    </row>
    <row r="20" spans="1:18" x14ac:dyDescent="0.25">
      <c r="A20" s="1202" t="s">
        <v>495</v>
      </c>
      <c r="B20" s="1202"/>
      <c r="C20" s="1202"/>
      <c r="D20" s="1202"/>
      <c r="E20" s="1202"/>
      <c r="F20" s="1202"/>
      <c r="G20" s="1202"/>
      <c r="H20" s="264">
        <f>SUM(H12:H19)</f>
        <v>2515416.3526999997</v>
      </c>
      <c r="I20" s="295">
        <f>SUM(I12:I19)</f>
        <v>2515.4</v>
      </c>
      <c r="J20" s="262"/>
    </row>
    <row r="21" spans="1:18" x14ac:dyDescent="0.25">
      <c r="A21" s="1202" t="s">
        <v>441</v>
      </c>
      <c r="B21" s="1202"/>
      <c r="C21" s="1202"/>
      <c r="D21" s="1202"/>
      <c r="E21" s="1202"/>
      <c r="F21" s="1202"/>
      <c r="G21" s="1202"/>
      <c r="H21" s="261"/>
      <c r="I21" s="295">
        <f>SUM(I10:I19)</f>
        <v>2950.7000000000003</v>
      </c>
    </row>
    <row r="22" spans="1:18" ht="15.75" customHeight="1" x14ac:dyDescent="0.25"/>
    <row r="23" spans="1:18" x14ac:dyDescent="0.25">
      <c r="A23" s="1185" t="s">
        <v>797</v>
      </c>
      <c r="B23" s="1185"/>
      <c r="C23" s="1185"/>
      <c r="D23" s="1185"/>
      <c r="E23" s="1185"/>
      <c r="F23" s="1185"/>
      <c r="L23" s="1182" t="s">
        <v>878</v>
      </c>
      <c r="M23" s="1182"/>
      <c r="N23" s="1182"/>
      <c r="O23" s="1182"/>
      <c r="P23" s="1182"/>
      <c r="Q23" s="1182"/>
      <c r="R23" s="204"/>
    </row>
    <row r="24" spans="1:18" ht="24" x14ac:dyDescent="0.25">
      <c r="A24" s="254" t="s">
        <v>258</v>
      </c>
      <c r="B24" s="254" t="s">
        <v>491</v>
      </c>
      <c r="C24" s="254" t="s">
        <v>343</v>
      </c>
      <c r="D24" s="254" t="s">
        <v>798</v>
      </c>
      <c r="E24" s="254" t="s">
        <v>799</v>
      </c>
      <c r="F24" s="254" t="s">
        <v>800</v>
      </c>
      <c r="L24" s="1183"/>
      <c r="M24" s="822" t="s">
        <v>558</v>
      </c>
      <c r="N24" s="822" t="s">
        <v>631</v>
      </c>
      <c r="O24" s="822" t="s">
        <v>632</v>
      </c>
      <c r="P24" s="822" t="s">
        <v>633</v>
      </c>
      <c r="Q24" s="822" t="s">
        <v>634</v>
      </c>
    </row>
    <row r="25" spans="1:18" x14ac:dyDescent="0.25">
      <c r="A25" s="724">
        <v>1</v>
      </c>
      <c r="B25" s="724">
        <v>2</v>
      </c>
      <c r="C25" s="724">
        <v>3</v>
      </c>
      <c r="D25" s="724">
        <v>4</v>
      </c>
      <c r="E25" s="724">
        <v>5</v>
      </c>
      <c r="F25" s="724">
        <v>6</v>
      </c>
      <c r="L25" s="1184"/>
      <c r="M25" s="823">
        <f>SUM(N25:Q25)</f>
        <v>3229000</v>
      </c>
      <c r="N25" s="773">
        <f>SUM(N26:N27)</f>
        <v>736300</v>
      </c>
      <c r="O25" s="773">
        <f t="shared" ref="O25:Q25" si="5">SUM(O26:O27)</f>
        <v>1031700</v>
      </c>
      <c r="P25" s="773">
        <f t="shared" si="5"/>
        <v>724700</v>
      </c>
      <c r="Q25" s="773">
        <f t="shared" si="5"/>
        <v>736300</v>
      </c>
    </row>
    <row r="26" spans="1:18" ht="26.25" customHeight="1" x14ac:dyDescent="0.25">
      <c r="A26" s="771">
        <v>1</v>
      </c>
      <c r="B26" s="775" t="s">
        <v>468</v>
      </c>
      <c r="C26" s="722">
        <v>223</v>
      </c>
      <c r="D26" s="771">
        <v>721</v>
      </c>
      <c r="E26" s="772">
        <f>434300+200000+56512</f>
        <v>690812</v>
      </c>
      <c r="F26" s="921">
        <f>ROUND(E26/1000,1)</f>
        <v>690.8</v>
      </c>
      <c r="G26" s="980"/>
      <c r="L26" s="824" t="s">
        <v>802</v>
      </c>
      <c r="M26" s="483">
        <f>SUM(N26:Q26)</f>
        <v>692721</v>
      </c>
      <c r="N26" s="925">
        <v>167600</v>
      </c>
      <c r="O26" s="925">
        <v>181250</v>
      </c>
      <c r="P26" s="925">
        <v>40400</v>
      </c>
      <c r="Q26" s="925">
        <f>47050+201000+55421</f>
        <v>303471</v>
      </c>
    </row>
    <row r="27" spans="1:18" ht="26.25" customHeight="1" x14ac:dyDescent="0.25">
      <c r="A27" s="771">
        <v>2</v>
      </c>
      <c r="B27" s="775" t="s">
        <v>879</v>
      </c>
      <c r="C27" s="758">
        <v>223</v>
      </c>
      <c r="D27" s="771">
        <v>730</v>
      </c>
      <c r="E27" s="772">
        <f>1000+500+270</f>
        <v>1770</v>
      </c>
      <c r="F27" s="921">
        <f>ROUND(E27/1000,1)</f>
        <v>1.8</v>
      </c>
      <c r="G27" s="980"/>
      <c r="L27" s="824" t="s">
        <v>803</v>
      </c>
      <c r="M27" s="483">
        <f>SUM(N27:Q27)</f>
        <v>2536279</v>
      </c>
      <c r="N27" s="925">
        <v>568700</v>
      </c>
      <c r="O27" s="925">
        <v>850450</v>
      </c>
      <c r="P27" s="925">
        <v>684300</v>
      </c>
      <c r="Q27" s="925">
        <f>689250-201000-55421</f>
        <v>432829</v>
      </c>
    </row>
    <row r="28" spans="1:18" ht="26.25" customHeight="1" x14ac:dyDescent="0.25">
      <c r="A28" s="771">
        <v>3</v>
      </c>
      <c r="B28" s="775" t="s">
        <v>914</v>
      </c>
      <c r="C28" s="758">
        <v>223</v>
      </c>
      <c r="D28" s="771">
        <v>740</v>
      </c>
      <c r="E28" s="772">
        <f>1000+500-1361</f>
        <v>139</v>
      </c>
      <c r="F28" s="921">
        <f>ROUND(E28/1000,1)</f>
        <v>0.1</v>
      </c>
      <c r="G28" s="980"/>
      <c r="L28" s="961"/>
      <c r="M28" s="962"/>
      <c r="N28" s="963"/>
      <c r="O28" s="963"/>
      <c r="P28" s="963"/>
      <c r="Q28" s="963"/>
    </row>
    <row r="29" spans="1:18" ht="26.25" customHeight="1" x14ac:dyDescent="0.25">
      <c r="A29" s="724">
        <v>4</v>
      </c>
      <c r="B29" s="567" t="s">
        <v>764</v>
      </c>
      <c r="C29" s="716">
        <v>223</v>
      </c>
      <c r="D29" s="724">
        <v>721</v>
      </c>
      <c r="E29" s="723">
        <f>2323500-200000-174071</f>
        <v>1949429</v>
      </c>
      <c r="F29" s="922">
        <f t="shared" ref="F29:F32" si="6">ROUND(E29/1000,1)</f>
        <v>1949.4</v>
      </c>
      <c r="G29" s="980"/>
    </row>
    <row r="30" spans="1:18" ht="26.25" customHeight="1" x14ac:dyDescent="0.25">
      <c r="A30" s="724">
        <v>5</v>
      </c>
      <c r="B30" s="567" t="s">
        <v>795</v>
      </c>
      <c r="C30" s="716">
        <v>223</v>
      </c>
      <c r="D30" s="716">
        <v>730</v>
      </c>
      <c r="E30" s="723">
        <f>372065-500+70660</f>
        <v>442225</v>
      </c>
      <c r="F30" s="922">
        <f t="shared" si="6"/>
        <v>442.2</v>
      </c>
      <c r="G30" s="980"/>
      <c r="N30" s="210"/>
      <c r="O30" s="210"/>
      <c r="P30" s="210"/>
      <c r="Q30" s="210"/>
    </row>
    <row r="31" spans="1:18" ht="26.25" customHeight="1" x14ac:dyDescent="0.25">
      <c r="A31" s="724">
        <v>6</v>
      </c>
      <c r="B31" s="567" t="s">
        <v>765</v>
      </c>
      <c r="C31" s="716">
        <v>223</v>
      </c>
      <c r="D31" s="716">
        <v>740</v>
      </c>
      <c r="E31" s="723">
        <f>86135-500+47305</f>
        <v>132940</v>
      </c>
      <c r="F31" s="922">
        <f>ROUND(E31/1000,1)+0.1</f>
        <v>133</v>
      </c>
      <c r="G31" s="980"/>
      <c r="H31" s="210">
        <f>E31+E32</f>
        <v>144625</v>
      </c>
    </row>
    <row r="32" spans="1:18" ht="26.25" customHeight="1" x14ac:dyDescent="0.25">
      <c r="A32" s="249">
        <v>7</v>
      </c>
      <c r="B32" s="599" t="s">
        <v>766</v>
      </c>
      <c r="C32" s="716">
        <v>223</v>
      </c>
      <c r="D32" s="716">
        <v>740</v>
      </c>
      <c r="E32" s="769">
        <f>380+10620+685</f>
        <v>11685</v>
      </c>
      <c r="F32" s="922">
        <f t="shared" si="6"/>
        <v>11.7</v>
      </c>
      <c r="G32" s="774"/>
    </row>
    <row r="33" spans="1:8" x14ac:dyDescent="0.25">
      <c r="A33" s="1186" t="s">
        <v>804</v>
      </c>
      <c r="B33" s="1187"/>
      <c r="C33" s="1187"/>
      <c r="D33" s="1188"/>
      <c r="E33" s="770">
        <f>SUM(E29:E32)</f>
        <v>2536279</v>
      </c>
      <c r="F33" s="923">
        <f>SUM(F29:F32)</f>
        <v>2536.2999999999997</v>
      </c>
      <c r="G33" s="774"/>
    </row>
    <row r="34" spans="1:8" x14ac:dyDescent="0.25">
      <c r="A34" s="1186" t="s">
        <v>801</v>
      </c>
      <c r="B34" s="1187"/>
      <c r="C34" s="1187"/>
      <c r="D34" s="1188"/>
      <c r="E34" s="770">
        <f>SUM(E26:E32)</f>
        <v>3229000</v>
      </c>
      <c r="F34" s="924">
        <f>SUM(F26:F32)</f>
        <v>3228.9999999999995</v>
      </c>
    </row>
    <row r="37" spans="1:8" x14ac:dyDescent="0.25">
      <c r="B37" s="1150" t="s">
        <v>397</v>
      </c>
      <c r="C37" s="1150"/>
      <c r="D37" s="168"/>
      <c r="E37" s="1151"/>
      <c r="F37" s="1151"/>
      <c r="G37" s="1151" t="str">
        <f>рВДЛ!G32</f>
        <v>М.В. Златова</v>
      </c>
      <c r="H37" s="1151"/>
    </row>
    <row r="38" spans="1:8" x14ac:dyDescent="0.25">
      <c r="B38" s="1148" t="s">
        <v>329</v>
      </c>
      <c r="C38" s="1148"/>
      <c r="D38" s="169"/>
      <c r="E38" s="1149" t="s">
        <v>330</v>
      </c>
      <c r="F38" s="1149"/>
      <c r="G38" s="1149" t="s">
        <v>331</v>
      </c>
      <c r="H38" s="1149"/>
    </row>
    <row r="39" spans="1:8" x14ac:dyDescent="0.25">
      <c r="A39" s="240"/>
      <c r="B39" s="1150" t="str">
        <f>рВДЛ!A34</f>
        <v>Исполнитель: финансист</v>
      </c>
      <c r="C39" s="1150"/>
      <c r="D39" s="168"/>
      <c r="E39" s="1151"/>
      <c r="F39" s="1151"/>
      <c r="G39" s="1151" t="str">
        <f>рВДЛ!G34</f>
        <v>Е.Н. Рыбалка</v>
      </c>
      <c r="H39" s="1151"/>
    </row>
    <row r="40" spans="1:8" x14ac:dyDescent="0.25">
      <c r="B40" s="1148" t="s">
        <v>329</v>
      </c>
      <c r="C40" s="1148"/>
      <c r="D40" s="169"/>
      <c r="E40" s="1149" t="s">
        <v>330</v>
      </c>
      <c r="F40" s="1149"/>
      <c r="G40" s="1149" t="s">
        <v>331</v>
      </c>
      <c r="H40" s="1149"/>
    </row>
  </sheetData>
  <mergeCells count="54">
    <mergeCell ref="A16:A17"/>
    <mergeCell ref="B16:B17"/>
    <mergeCell ref="A21:G21"/>
    <mergeCell ref="I18:I19"/>
    <mergeCell ref="A20:G20"/>
    <mergeCell ref="A18:A19"/>
    <mergeCell ref="B18:B19"/>
    <mergeCell ref="C18:C19"/>
    <mergeCell ref="D18:D19"/>
    <mergeCell ref="E18:E19"/>
    <mergeCell ref="B40:C40"/>
    <mergeCell ref="E40:F40"/>
    <mergeCell ref="G40:H40"/>
    <mergeCell ref="B37:C37"/>
    <mergeCell ref="E37:F37"/>
    <mergeCell ref="G37:H37"/>
    <mergeCell ref="B38:C38"/>
    <mergeCell ref="E38:F38"/>
    <mergeCell ref="G38:H38"/>
    <mergeCell ref="B39:C39"/>
    <mergeCell ref="E39:F39"/>
    <mergeCell ref="G39:H39"/>
    <mergeCell ref="A1:I1"/>
    <mergeCell ref="A3:I3"/>
    <mergeCell ref="A4:I4"/>
    <mergeCell ref="I10:I11"/>
    <mergeCell ref="A12:A13"/>
    <mergeCell ref="B12:B13"/>
    <mergeCell ref="C12:C13"/>
    <mergeCell ref="D12:D13"/>
    <mergeCell ref="E12:E13"/>
    <mergeCell ref="A10:A11"/>
    <mergeCell ref="B10:B11"/>
    <mergeCell ref="C10:C11"/>
    <mergeCell ref="D10:D11"/>
    <mergeCell ref="E10:E11"/>
    <mergeCell ref="A6:I6"/>
    <mergeCell ref="I12:I13"/>
    <mergeCell ref="L23:Q23"/>
    <mergeCell ref="L24:L25"/>
    <mergeCell ref="A23:F23"/>
    <mergeCell ref="A34:D34"/>
    <mergeCell ref="A7:I7"/>
    <mergeCell ref="A14:A15"/>
    <mergeCell ref="B14:B15"/>
    <mergeCell ref="C14:C15"/>
    <mergeCell ref="D14:D15"/>
    <mergeCell ref="E14:E15"/>
    <mergeCell ref="C16:C17"/>
    <mergeCell ref="D16:D17"/>
    <mergeCell ref="E16:E17"/>
    <mergeCell ref="I14:I15"/>
    <mergeCell ref="I16:I17"/>
    <mergeCell ref="A33:D33"/>
  </mergeCells>
  <pageMargins left="0.7" right="0.7" top="0.75" bottom="0.75" header="0.3" footer="0.3"/>
  <pageSetup paperSize="9" orientation="portrait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67"/>
  <sheetViews>
    <sheetView showZeros="0" topLeftCell="A29" workbookViewId="0">
      <selection activeCell="J51" sqref="J51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520" customWidth="1"/>
    <col min="10" max="252" width="9.140625" style="789"/>
    <col min="253" max="253" width="49.42578125" style="789" customWidth="1"/>
    <col min="254" max="255" width="3.5703125" style="789" customWidth="1"/>
    <col min="256" max="256" width="11.42578125" style="789" customWidth="1"/>
    <col min="257" max="259" width="5.7109375" style="789" customWidth="1"/>
    <col min="260" max="260" width="9" style="789" customWidth="1"/>
    <col min="261" max="261" width="18.7109375" style="789" customWidth="1"/>
    <col min="262" max="508" width="9.140625" style="789"/>
    <col min="509" max="509" width="49.42578125" style="789" customWidth="1"/>
    <col min="510" max="511" width="3.5703125" style="789" customWidth="1"/>
    <col min="512" max="512" width="11.42578125" style="789" customWidth="1"/>
    <col min="513" max="515" width="5.7109375" style="789" customWidth="1"/>
    <col min="516" max="516" width="9" style="789" customWidth="1"/>
    <col min="517" max="517" width="18.7109375" style="789" customWidth="1"/>
    <col min="518" max="764" width="9.140625" style="789"/>
    <col min="765" max="765" width="49.42578125" style="789" customWidth="1"/>
    <col min="766" max="767" width="3.5703125" style="789" customWidth="1"/>
    <col min="768" max="768" width="11.42578125" style="789" customWidth="1"/>
    <col min="769" max="771" width="5.7109375" style="789" customWidth="1"/>
    <col min="772" max="772" width="9" style="789" customWidth="1"/>
    <col min="773" max="773" width="18.7109375" style="789" customWidth="1"/>
    <col min="774" max="1020" width="9.140625" style="789"/>
    <col min="1021" max="1021" width="49.42578125" style="789" customWidth="1"/>
    <col min="1022" max="1023" width="3.5703125" style="789" customWidth="1"/>
    <col min="1024" max="1024" width="11.42578125" style="789" customWidth="1"/>
    <col min="1025" max="1027" width="5.7109375" style="789" customWidth="1"/>
    <col min="1028" max="1028" width="9" style="789" customWidth="1"/>
    <col min="1029" max="1029" width="18.7109375" style="789" customWidth="1"/>
    <col min="1030" max="1276" width="9.140625" style="789"/>
    <col min="1277" max="1277" width="49.42578125" style="789" customWidth="1"/>
    <col min="1278" max="1279" width="3.5703125" style="789" customWidth="1"/>
    <col min="1280" max="1280" width="11.42578125" style="789" customWidth="1"/>
    <col min="1281" max="1283" width="5.7109375" style="789" customWidth="1"/>
    <col min="1284" max="1284" width="9" style="789" customWidth="1"/>
    <col min="1285" max="1285" width="18.7109375" style="789" customWidth="1"/>
    <col min="1286" max="1532" width="9.140625" style="789"/>
    <col min="1533" max="1533" width="49.42578125" style="789" customWidth="1"/>
    <col min="1534" max="1535" width="3.5703125" style="789" customWidth="1"/>
    <col min="1536" max="1536" width="11.42578125" style="789" customWidth="1"/>
    <col min="1537" max="1539" width="5.7109375" style="789" customWidth="1"/>
    <col min="1540" max="1540" width="9" style="789" customWidth="1"/>
    <col min="1541" max="1541" width="18.7109375" style="789" customWidth="1"/>
    <col min="1542" max="1788" width="9.140625" style="789"/>
    <col min="1789" max="1789" width="49.42578125" style="789" customWidth="1"/>
    <col min="1790" max="1791" width="3.5703125" style="789" customWidth="1"/>
    <col min="1792" max="1792" width="11.42578125" style="789" customWidth="1"/>
    <col min="1793" max="1795" width="5.7109375" style="789" customWidth="1"/>
    <col min="1796" max="1796" width="9" style="789" customWidth="1"/>
    <col min="1797" max="1797" width="18.7109375" style="789" customWidth="1"/>
    <col min="1798" max="2044" width="9.140625" style="789"/>
    <col min="2045" max="2045" width="49.42578125" style="789" customWidth="1"/>
    <col min="2046" max="2047" width="3.5703125" style="789" customWidth="1"/>
    <col min="2048" max="2048" width="11.42578125" style="789" customWidth="1"/>
    <col min="2049" max="2051" width="5.7109375" style="789" customWidth="1"/>
    <col min="2052" max="2052" width="9" style="789" customWidth="1"/>
    <col min="2053" max="2053" width="18.7109375" style="789" customWidth="1"/>
    <col min="2054" max="2300" width="9.140625" style="789"/>
    <col min="2301" max="2301" width="49.42578125" style="789" customWidth="1"/>
    <col min="2302" max="2303" width="3.5703125" style="789" customWidth="1"/>
    <col min="2304" max="2304" width="11.42578125" style="789" customWidth="1"/>
    <col min="2305" max="2307" width="5.7109375" style="789" customWidth="1"/>
    <col min="2308" max="2308" width="9" style="789" customWidth="1"/>
    <col min="2309" max="2309" width="18.7109375" style="789" customWidth="1"/>
    <col min="2310" max="2556" width="9.140625" style="789"/>
    <col min="2557" max="2557" width="49.42578125" style="789" customWidth="1"/>
    <col min="2558" max="2559" width="3.5703125" style="789" customWidth="1"/>
    <col min="2560" max="2560" width="11.42578125" style="789" customWidth="1"/>
    <col min="2561" max="2563" width="5.7109375" style="789" customWidth="1"/>
    <col min="2564" max="2564" width="9" style="789" customWidth="1"/>
    <col min="2565" max="2565" width="18.7109375" style="789" customWidth="1"/>
    <col min="2566" max="2812" width="9.140625" style="789"/>
    <col min="2813" max="2813" width="49.42578125" style="789" customWidth="1"/>
    <col min="2814" max="2815" width="3.5703125" style="789" customWidth="1"/>
    <col min="2816" max="2816" width="11.42578125" style="789" customWidth="1"/>
    <col min="2817" max="2819" width="5.7109375" style="789" customWidth="1"/>
    <col min="2820" max="2820" width="9" style="789" customWidth="1"/>
    <col min="2821" max="2821" width="18.7109375" style="789" customWidth="1"/>
    <col min="2822" max="3068" width="9.140625" style="789"/>
    <col min="3069" max="3069" width="49.42578125" style="789" customWidth="1"/>
    <col min="3070" max="3071" width="3.5703125" style="789" customWidth="1"/>
    <col min="3072" max="3072" width="11.42578125" style="789" customWidth="1"/>
    <col min="3073" max="3075" width="5.7109375" style="789" customWidth="1"/>
    <col min="3076" max="3076" width="9" style="789" customWidth="1"/>
    <col min="3077" max="3077" width="18.7109375" style="789" customWidth="1"/>
    <col min="3078" max="3324" width="9.140625" style="789"/>
    <col min="3325" max="3325" width="49.42578125" style="789" customWidth="1"/>
    <col min="3326" max="3327" width="3.5703125" style="789" customWidth="1"/>
    <col min="3328" max="3328" width="11.42578125" style="789" customWidth="1"/>
    <col min="3329" max="3331" width="5.7109375" style="789" customWidth="1"/>
    <col min="3332" max="3332" width="9" style="789" customWidth="1"/>
    <col min="3333" max="3333" width="18.7109375" style="789" customWidth="1"/>
    <col min="3334" max="3580" width="9.140625" style="789"/>
    <col min="3581" max="3581" width="49.42578125" style="789" customWidth="1"/>
    <col min="3582" max="3583" width="3.5703125" style="789" customWidth="1"/>
    <col min="3584" max="3584" width="11.42578125" style="789" customWidth="1"/>
    <col min="3585" max="3587" width="5.7109375" style="789" customWidth="1"/>
    <col min="3588" max="3588" width="9" style="789" customWidth="1"/>
    <col min="3589" max="3589" width="18.7109375" style="789" customWidth="1"/>
    <col min="3590" max="3836" width="9.140625" style="789"/>
    <col min="3837" max="3837" width="49.42578125" style="789" customWidth="1"/>
    <col min="3838" max="3839" width="3.5703125" style="789" customWidth="1"/>
    <col min="3840" max="3840" width="11.42578125" style="789" customWidth="1"/>
    <col min="3841" max="3843" width="5.7109375" style="789" customWidth="1"/>
    <col min="3844" max="3844" width="9" style="789" customWidth="1"/>
    <col min="3845" max="3845" width="18.7109375" style="789" customWidth="1"/>
    <col min="3846" max="4092" width="9.140625" style="789"/>
    <col min="4093" max="4093" width="49.42578125" style="789" customWidth="1"/>
    <col min="4094" max="4095" width="3.5703125" style="789" customWidth="1"/>
    <col min="4096" max="4096" width="11.42578125" style="789" customWidth="1"/>
    <col min="4097" max="4099" width="5.7109375" style="789" customWidth="1"/>
    <col min="4100" max="4100" width="9" style="789" customWidth="1"/>
    <col min="4101" max="4101" width="18.7109375" style="789" customWidth="1"/>
    <col min="4102" max="4348" width="9.140625" style="789"/>
    <col min="4349" max="4349" width="49.42578125" style="789" customWidth="1"/>
    <col min="4350" max="4351" width="3.5703125" style="789" customWidth="1"/>
    <col min="4352" max="4352" width="11.42578125" style="789" customWidth="1"/>
    <col min="4353" max="4355" width="5.7109375" style="789" customWidth="1"/>
    <col min="4356" max="4356" width="9" style="789" customWidth="1"/>
    <col min="4357" max="4357" width="18.7109375" style="789" customWidth="1"/>
    <col min="4358" max="4604" width="9.140625" style="789"/>
    <col min="4605" max="4605" width="49.42578125" style="789" customWidth="1"/>
    <col min="4606" max="4607" width="3.5703125" style="789" customWidth="1"/>
    <col min="4608" max="4608" width="11.42578125" style="789" customWidth="1"/>
    <col min="4609" max="4611" width="5.7109375" style="789" customWidth="1"/>
    <col min="4612" max="4612" width="9" style="789" customWidth="1"/>
    <col min="4613" max="4613" width="18.7109375" style="789" customWidth="1"/>
    <col min="4614" max="4860" width="9.140625" style="789"/>
    <col min="4861" max="4861" width="49.42578125" style="789" customWidth="1"/>
    <col min="4862" max="4863" width="3.5703125" style="789" customWidth="1"/>
    <col min="4864" max="4864" width="11.42578125" style="789" customWidth="1"/>
    <col min="4865" max="4867" width="5.7109375" style="789" customWidth="1"/>
    <col min="4868" max="4868" width="9" style="789" customWidth="1"/>
    <col min="4869" max="4869" width="18.7109375" style="789" customWidth="1"/>
    <col min="4870" max="5116" width="9.140625" style="789"/>
    <col min="5117" max="5117" width="49.42578125" style="789" customWidth="1"/>
    <col min="5118" max="5119" width="3.5703125" style="789" customWidth="1"/>
    <col min="5120" max="5120" width="11.42578125" style="789" customWidth="1"/>
    <col min="5121" max="5123" width="5.7109375" style="789" customWidth="1"/>
    <col min="5124" max="5124" width="9" style="789" customWidth="1"/>
    <col min="5125" max="5125" width="18.7109375" style="789" customWidth="1"/>
    <col min="5126" max="5372" width="9.140625" style="789"/>
    <col min="5373" max="5373" width="49.42578125" style="789" customWidth="1"/>
    <col min="5374" max="5375" width="3.5703125" style="789" customWidth="1"/>
    <col min="5376" max="5376" width="11.42578125" style="789" customWidth="1"/>
    <col min="5377" max="5379" width="5.7109375" style="789" customWidth="1"/>
    <col min="5380" max="5380" width="9" style="789" customWidth="1"/>
    <col min="5381" max="5381" width="18.7109375" style="789" customWidth="1"/>
    <col min="5382" max="5628" width="9.140625" style="789"/>
    <col min="5629" max="5629" width="49.42578125" style="789" customWidth="1"/>
    <col min="5630" max="5631" width="3.5703125" style="789" customWidth="1"/>
    <col min="5632" max="5632" width="11.42578125" style="789" customWidth="1"/>
    <col min="5633" max="5635" width="5.7109375" style="789" customWidth="1"/>
    <col min="5636" max="5636" width="9" style="789" customWidth="1"/>
    <col min="5637" max="5637" width="18.7109375" style="789" customWidth="1"/>
    <col min="5638" max="5884" width="9.140625" style="789"/>
    <col min="5885" max="5885" width="49.42578125" style="789" customWidth="1"/>
    <col min="5886" max="5887" width="3.5703125" style="789" customWidth="1"/>
    <col min="5888" max="5888" width="11.42578125" style="789" customWidth="1"/>
    <col min="5889" max="5891" width="5.7109375" style="789" customWidth="1"/>
    <col min="5892" max="5892" width="9" style="789" customWidth="1"/>
    <col min="5893" max="5893" width="18.7109375" style="789" customWidth="1"/>
    <col min="5894" max="6140" width="9.140625" style="789"/>
    <col min="6141" max="6141" width="49.42578125" style="789" customWidth="1"/>
    <col min="6142" max="6143" width="3.5703125" style="789" customWidth="1"/>
    <col min="6144" max="6144" width="11.42578125" style="789" customWidth="1"/>
    <col min="6145" max="6147" width="5.7109375" style="789" customWidth="1"/>
    <col min="6148" max="6148" width="9" style="789" customWidth="1"/>
    <col min="6149" max="6149" width="18.7109375" style="789" customWidth="1"/>
    <col min="6150" max="6396" width="9.140625" style="789"/>
    <col min="6397" max="6397" width="49.42578125" style="789" customWidth="1"/>
    <col min="6398" max="6399" width="3.5703125" style="789" customWidth="1"/>
    <col min="6400" max="6400" width="11.42578125" style="789" customWidth="1"/>
    <col min="6401" max="6403" width="5.7109375" style="789" customWidth="1"/>
    <col min="6404" max="6404" width="9" style="789" customWidth="1"/>
    <col min="6405" max="6405" width="18.7109375" style="789" customWidth="1"/>
    <col min="6406" max="6652" width="9.140625" style="789"/>
    <col min="6653" max="6653" width="49.42578125" style="789" customWidth="1"/>
    <col min="6654" max="6655" width="3.5703125" style="789" customWidth="1"/>
    <col min="6656" max="6656" width="11.42578125" style="789" customWidth="1"/>
    <col min="6657" max="6659" width="5.7109375" style="789" customWidth="1"/>
    <col min="6660" max="6660" width="9" style="789" customWidth="1"/>
    <col min="6661" max="6661" width="18.7109375" style="789" customWidth="1"/>
    <col min="6662" max="6908" width="9.140625" style="789"/>
    <col min="6909" max="6909" width="49.42578125" style="789" customWidth="1"/>
    <col min="6910" max="6911" width="3.5703125" style="789" customWidth="1"/>
    <col min="6912" max="6912" width="11.42578125" style="789" customWidth="1"/>
    <col min="6913" max="6915" width="5.7109375" style="789" customWidth="1"/>
    <col min="6916" max="6916" width="9" style="789" customWidth="1"/>
    <col min="6917" max="6917" width="18.7109375" style="789" customWidth="1"/>
    <col min="6918" max="7164" width="9.140625" style="789"/>
    <col min="7165" max="7165" width="49.42578125" style="789" customWidth="1"/>
    <col min="7166" max="7167" width="3.5703125" style="789" customWidth="1"/>
    <col min="7168" max="7168" width="11.42578125" style="789" customWidth="1"/>
    <col min="7169" max="7171" width="5.7109375" style="789" customWidth="1"/>
    <col min="7172" max="7172" width="9" style="789" customWidth="1"/>
    <col min="7173" max="7173" width="18.7109375" style="789" customWidth="1"/>
    <col min="7174" max="7420" width="9.140625" style="789"/>
    <col min="7421" max="7421" width="49.42578125" style="789" customWidth="1"/>
    <col min="7422" max="7423" width="3.5703125" style="789" customWidth="1"/>
    <col min="7424" max="7424" width="11.42578125" style="789" customWidth="1"/>
    <col min="7425" max="7427" width="5.7109375" style="789" customWidth="1"/>
    <col min="7428" max="7428" width="9" style="789" customWidth="1"/>
    <col min="7429" max="7429" width="18.7109375" style="789" customWidth="1"/>
    <col min="7430" max="7676" width="9.140625" style="789"/>
    <col min="7677" max="7677" width="49.42578125" style="789" customWidth="1"/>
    <col min="7678" max="7679" width="3.5703125" style="789" customWidth="1"/>
    <col min="7680" max="7680" width="11.42578125" style="789" customWidth="1"/>
    <col min="7681" max="7683" width="5.7109375" style="789" customWidth="1"/>
    <col min="7684" max="7684" width="9" style="789" customWidth="1"/>
    <col min="7685" max="7685" width="18.7109375" style="789" customWidth="1"/>
    <col min="7686" max="7932" width="9.140625" style="789"/>
    <col min="7933" max="7933" width="49.42578125" style="789" customWidth="1"/>
    <col min="7934" max="7935" width="3.5703125" style="789" customWidth="1"/>
    <col min="7936" max="7936" width="11.42578125" style="789" customWidth="1"/>
    <col min="7937" max="7939" width="5.7109375" style="789" customWidth="1"/>
    <col min="7940" max="7940" width="9" style="789" customWidth="1"/>
    <col min="7941" max="7941" width="18.7109375" style="789" customWidth="1"/>
    <col min="7942" max="8188" width="9.140625" style="789"/>
    <col min="8189" max="8189" width="49.42578125" style="789" customWidth="1"/>
    <col min="8190" max="8191" width="3.5703125" style="789" customWidth="1"/>
    <col min="8192" max="8192" width="11.42578125" style="789" customWidth="1"/>
    <col min="8193" max="8195" width="5.7109375" style="789" customWidth="1"/>
    <col min="8196" max="8196" width="9" style="789" customWidth="1"/>
    <col min="8197" max="8197" width="18.7109375" style="789" customWidth="1"/>
    <col min="8198" max="8444" width="9.140625" style="789"/>
    <col min="8445" max="8445" width="49.42578125" style="789" customWidth="1"/>
    <col min="8446" max="8447" width="3.5703125" style="789" customWidth="1"/>
    <col min="8448" max="8448" width="11.42578125" style="789" customWidth="1"/>
    <col min="8449" max="8451" width="5.7109375" style="789" customWidth="1"/>
    <col min="8452" max="8452" width="9" style="789" customWidth="1"/>
    <col min="8453" max="8453" width="18.7109375" style="789" customWidth="1"/>
    <col min="8454" max="8700" width="9.140625" style="789"/>
    <col min="8701" max="8701" width="49.42578125" style="789" customWidth="1"/>
    <col min="8702" max="8703" width="3.5703125" style="789" customWidth="1"/>
    <col min="8704" max="8704" width="11.42578125" style="789" customWidth="1"/>
    <col min="8705" max="8707" width="5.7109375" style="789" customWidth="1"/>
    <col min="8708" max="8708" width="9" style="789" customWidth="1"/>
    <col min="8709" max="8709" width="18.7109375" style="789" customWidth="1"/>
    <col min="8710" max="8956" width="9.140625" style="789"/>
    <col min="8957" max="8957" width="49.42578125" style="789" customWidth="1"/>
    <col min="8958" max="8959" width="3.5703125" style="789" customWidth="1"/>
    <col min="8960" max="8960" width="11.42578125" style="789" customWidth="1"/>
    <col min="8961" max="8963" width="5.7109375" style="789" customWidth="1"/>
    <col min="8964" max="8964" width="9" style="789" customWidth="1"/>
    <col min="8965" max="8965" width="18.7109375" style="789" customWidth="1"/>
    <col min="8966" max="9212" width="9.140625" style="789"/>
    <col min="9213" max="9213" width="49.42578125" style="789" customWidth="1"/>
    <col min="9214" max="9215" width="3.5703125" style="789" customWidth="1"/>
    <col min="9216" max="9216" width="11.42578125" style="789" customWidth="1"/>
    <col min="9217" max="9219" width="5.7109375" style="789" customWidth="1"/>
    <col min="9220" max="9220" width="9" style="789" customWidth="1"/>
    <col min="9221" max="9221" width="18.7109375" style="789" customWidth="1"/>
    <col min="9222" max="9468" width="9.140625" style="789"/>
    <col min="9469" max="9469" width="49.42578125" style="789" customWidth="1"/>
    <col min="9470" max="9471" width="3.5703125" style="789" customWidth="1"/>
    <col min="9472" max="9472" width="11.42578125" style="789" customWidth="1"/>
    <col min="9473" max="9475" width="5.7109375" style="789" customWidth="1"/>
    <col min="9476" max="9476" width="9" style="789" customWidth="1"/>
    <col min="9477" max="9477" width="18.7109375" style="789" customWidth="1"/>
    <col min="9478" max="9724" width="9.140625" style="789"/>
    <col min="9725" max="9725" width="49.42578125" style="789" customWidth="1"/>
    <col min="9726" max="9727" width="3.5703125" style="789" customWidth="1"/>
    <col min="9728" max="9728" width="11.42578125" style="789" customWidth="1"/>
    <col min="9729" max="9731" width="5.7109375" style="789" customWidth="1"/>
    <col min="9732" max="9732" width="9" style="789" customWidth="1"/>
    <col min="9733" max="9733" width="18.7109375" style="789" customWidth="1"/>
    <col min="9734" max="9980" width="9.140625" style="789"/>
    <col min="9981" max="9981" width="49.42578125" style="789" customWidth="1"/>
    <col min="9982" max="9983" width="3.5703125" style="789" customWidth="1"/>
    <col min="9984" max="9984" width="11.42578125" style="789" customWidth="1"/>
    <col min="9985" max="9987" width="5.7109375" style="789" customWidth="1"/>
    <col min="9988" max="9988" width="9" style="789" customWidth="1"/>
    <col min="9989" max="9989" width="18.7109375" style="789" customWidth="1"/>
    <col min="9990" max="10236" width="9.140625" style="789"/>
    <col min="10237" max="10237" width="49.42578125" style="789" customWidth="1"/>
    <col min="10238" max="10239" width="3.5703125" style="789" customWidth="1"/>
    <col min="10240" max="10240" width="11.42578125" style="789" customWidth="1"/>
    <col min="10241" max="10243" width="5.7109375" style="789" customWidth="1"/>
    <col min="10244" max="10244" width="9" style="789" customWidth="1"/>
    <col min="10245" max="10245" width="18.7109375" style="789" customWidth="1"/>
    <col min="10246" max="10492" width="9.140625" style="789"/>
    <col min="10493" max="10493" width="49.42578125" style="789" customWidth="1"/>
    <col min="10494" max="10495" width="3.5703125" style="789" customWidth="1"/>
    <col min="10496" max="10496" width="11.42578125" style="789" customWidth="1"/>
    <col min="10497" max="10499" width="5.7109375" style="789" customWidth="1"/>
    <col min="10500" max="10500" width="9" style="789" customWidth="1"/>
    <col min="10501" max="10501" width="18.7109375" style="789" customWidth="1"/>
    <col min="10502" max="10748" width="9.140625" style="789"/>
    <col min="10749" max="10749" width="49.42578125" style="789" customWidth="1"/>
    <col min="10750" max="10751" width="3.5703125" style="789" customWidth="1"/>
    <col min="10752" max="10752" width="11.42578125" style="789" customWidth="1"/>
    <col min="10753" max="10755" width="5.7109375" style="789" customWidth="1"/>
    <col min="10756" max="10756" width="9" style="789" customWidth="1"/>
    <col min="10757" max="10757" width="18.7109375" style="789" customWidth="1"/>
    <col min="10758" max="11004" width="9.140625" style="789"/>
    <col min="11005" max="11005" width="49.42578125" style="789" customWidth="1"/>
    <col min="11006" max="11007" width="3.5703125" style="789" customWidth="1"/>
    <col min="11008" max="11008" width="11.42578125" style="789" customWidth="1"/>
    <col min="11009" max="11011" width="5.7109375" style="789" customWidth="1"/>
    <col min="11012" max="11012" width="9" style="789" customWidth="1"/>
    <col min="11013" max="11013" width="18.7109375" style="789" customWidth="1"/>
    <col min="11014" max="11260" width="9.140625" style="789"/>
    <col min="11261" max="11261" width="49.42578125" style="789" customWidth="1"/>
    <col min="11262" max="11263" width="3.5703125" style="789" customWidth="1"/>
    <col min="11264" max="11264" width="11.42578125" style="789" customWidth="1"/>
    <col min="11265" max="11267" width="5.7109375" style="789" customWidth="1"/>
    <col min="11268" max="11268" width="9" style="789" customWidth="1"/>
    <col min="11269" max="11269" width="18.7109375" style="789" customWidth="1"/>
    <col min="11270" max="11516" width="9.140625" style="789"/>
    <col min="11517" max="11517" width="49.42578125" style="789" customWidth="1"/>
    <col min="11518" max="11519" width="3.5703125" style="789" customWidth="1"/>
    <col min="11520" max="11520" width="11.42578125" style="789" customWidth="1"/>
    <col min="11521" max="11523" width="5.7109375" style="789" customWidth="1"/>
    <col min="11524" max="11524" width="9" style="789" customWidth="1"/>
    <col min="11525" max="11525" width="18.7109375" style="789" customWidth="1"/>
    <col min="11526" max="11772" width="9.140625" style="789"/>
    <col min="11773" max="11773" width="49.42578125" style="789" customWidth="1"/>
    <col min="11774" max="11775" width="3.5703125" style="789" customWidth="1"/>
    <col min="11776" max="11776" width="11.42578125" style="789" customWidth="1"/>
    <col min="11777" max="11779" width="5.7109375" style="789" customWidth="1"/>
    <col min="11780" max="11780" width="9" style="789" customWidth="1"/>
    <col min="11781" max="11781" width="18.7109375" style="789" customWidth="1"/>
    <col min="11782" max="12028" width="9.140625" style="789"/>
    <col min="12029" max="12029" width="49.42578125" style="789" customWidth="1"/>
    <col min="12030" max="12031" width="3.5703125" style="789" customWidth="1"/>
    <col min="12032" max="12032" width="11.42578125" style="789" customWidth="1"/>
    <col min="12033" max="12035" width="5.7109375" style="789" customWidth="1"/>
    <col min="12036" max="12036" width="9" style="789" customWidth="1"/>
    <col min="12037" max="12037" width="18.7109375" style="789" customWidth="1"/>
    <col min="12038" max="12284" width="9.140625" style="789"/>
    <col min="12285" max="12285" width="49.42578125" style="789" customWidth="1"/>
    <col min="12286" max="12287" width="3.5703125" style="789" customWidth="1"/>
    <col min="12288" max="12288" width="11.42578125" style="789" customWidth="1"/>
    <col min="12289" max="12291" width="5.7109375" style="789" customWidth="1"/>
    <col min="12292" max="12292" width="9" style="789" customWidth="1"/>
    <col min="12293" max="12293" width="18.7109375" style="789" customWidth="1"/>
    <col min="12294" max="12540" width="9.140625" style="789"/>
    <col min="12541" max="12541" width="49.42578125" style="789" customWidth="1"/>
    <col min="12542" max="12543" width="3.5703125" style="789" customWidth="1"/>
    <col min="12544" max="12544" width="11.42578125" style="789" customWidth="1"/>
    <col min="12545" max="12547" width="5.7109375" style="789" customWidth="1"/>
    <col min="12548" max="12548" width="9" style="789" customWidth="1"/>
    <col min="12549" max="12549" width="18.7109375" style="789" customWidth="1"/>
    <col min="12550" max="12796" width="9.140625" style="789"/>
    <col min="12797" max="12797" width="49.42578125" style="789" customWidth="1"/>
    <col min="12798" max="12799" width="3.5703125" style="789" customWidth="1"/>
    <col min="12800" max="12800" width="11.42578125" style="789" customWidth="1"/>
    <col min="12801" max="12803" width="5.7109375" style="789" customWidth="1"/>
    <col min="12804" max="12804" width="9" style="789" customWidth="1"/>
    <col min="12805" max="12805" width="18.7109375" style="789" customWidth="1"/>
    <col min="12806" max="13052" width="9.140625" style="789"/>
    <col min="13053" max="13053" width="49.42578125" style="789" customWidth="1"/>
    <col min="13054" max="13055" width="3.5703125" style="789" customWidth="1"/>
    <col min="13056" max="13056" width="11.42578125" style="789" customWidth="1"/>
    <col min="13057" max="13059" width="5.7109375" style="789" customWidth="1"/>
    <col min="13060" max="13060" width="9" style="789" customWidth="1"/>
    <col min="13061" max="13061" width="18.7109375" style="789" customWidth="1"/>
    <col min="13062" max="13308" width="9.140625" style="789"/>
    <col min="13309" max="13309" width="49.42578125" style="789" customWidth="1"/>
    <col min="13310" max="13311" width="3.5703125" style="789" customWidth="1"/>
    <col min="13312" max="13312" width="11.42578125" style="789" customWidth="1"/>
    <col min="13313" max="13315" width="5.7109375" style="789" customWidth="1"/>
    <col min="13316" max="13316" width="9" style="789" customWidth="1"/>
    <col min="13317" max="13317" width="18.7109375" style="789" customWidth="1"/>
    <col min="13318" max="13564" width="9.140625" style="789"/>
    <col min="13565" max="13565" width="49.42578125" style="789" customWidth="1"/>
    <col min="13566" max="13567" width="3.5703125" style="789" customWidth="1"/>
    <col min="13568" max="13568" width="11.42578125" style="789" customWidth="1"/>
    <col min="13569" max="13571" width="5.7109375" style="789" customWidth="1"/>
    <col min="13572" max="13572" width="9" style="789" customWidth="1"/>
    <col min="13573" max="13573" width="18.7109375" style="789" customWidth="1"/>
    <col min="13574" max="13820" width="9.140625" style="789"/>
    <col min="13821" max="13821" width="49.42578125" style="789" customWidth="1"/>
    <col min="13822" max="13823" width="3.5703125" style="789" customWidth="1"/>
    <col min="13824" max="13824" width="11.42578125" style="789" customWidth="1"/>
    <col min="13825" max="13827" width="5.7109375" style="789" customWidth="1"/>
    <col min="13828" max="13828" width="9" style="789" customWidth="1"/>
    <col min="13829" max="13829" width="18.7109375" style="789" customWidth="1"/>
    <col min="13830" max="14076" width="9.140625" style="789"/>
    <col min="14077" max="14077" width="49.42578125" style="789" customWidth="1"/>
    <col min="14078" max="14079" width="3.5703125" style="789" customWidth="1"/>
    <col min="14080" max="14080" width="11.42578125" style="789" customWidth="1"/>
    <col min="14081" max="14083" width="5.7109375" style="789" customWidth="1"/>
    <col min="14084" max="14084" width="9" style="789" customWidth="1"/>
    <col min="14085" max="14085" width="18.7109375" style="789" customWidth="1"/>
    <col min="14086" max="14332" width="9.140625" style="789"/>
    <col min="14333" max="14333" width="49.42578125" style="789" customWidth="1"/>
    <col min="14334" max="14335" width="3.5703125" style="789" customWidth="1"/>
    <col min="14336" max="14336" width="11.42578125" style="789" customWidth="1"/>
    <col min="14337" max="14339" width="5.7109375" style="789" customWidth="1"/>
    <col min="14340" max="14340" width="9" style="789" customWidth="1"/>
    <col min="14341" max="14341" width="18.7109375" style="789" customWidth="1"/>
    <col min="14342" max="14588" width="9.140625" style="789"/>
    <col min="14589" max="14589" width="49.42578125" style="789" customWidth="1"/>
    <col min="14590" max="14591" width="3.5703125" style="789" customWidth="1"/>
    <col min="14592" max="14592" width="11.42578125" style="789" customWidth="1"/>
    <col min="14593" max="14595" width="5.7109375" style="789" customWidth="1"/>
    <col min="14596" max="14596" width="9" style="789" customWidth="1"/>
    <col min="14597" max="14597" width="18.7109375" style="789" customWidth="1"/>
    <col min="14598" max="14844" width="9.140625" style="789"/>
    <col min="14845" max="14845" width="49.42578125" style="789" customWidth="1"/>
    <col min="14846" max="14847" width="3.5703125" style="789" customWidth="1"/>
    <col min="14848" max="14848" width="11.42578125" style="789" customWidth="1"/>
    <col min="14849" max="14851" width="5.7109375" style="789" customWidth="1"/>
    <col min="14852" max="14852" width="9" style="789" customWidth="1"/>
    <col min="14853" max="14853" width="18.7109375" style="789" customWidth="1"/>
    <col min="14854" max="15100" width="9.140625" style="789"/>
    <col min="15101" max="15101" width="49.42578125" style="789" customWidth="1"/>
    <col min="15102" max="15103" width="3.5703125" style="789" customWidth="1"/>
    <col min="15104" max="15104" width="11.42578125" style="789" customWidth="1"/>
    <col min="15105" max="15107" width="5.7109375" style="789" customWidth="1"/>
    <col min="15108" max="15108" width="9" style="789" customWidth="1"/>
    <col min="15109" max="15109" width="18.7109375" style="789" customWidth="1"/>
    <col min="15110" max="15356" width="9.140625" style="789"/>
    <col min="15357" max="15357" width="49.42578125" style="789" customWidth="1"/>
    <col min="15358" max="15359" width="3.5703125" style="789" customWidth="1"/>
    <col min="15360" max="15360" width="11.42578125" style="789" customWidth="1"/>
    <col min="15361" max="15363" width="5.7109375" style="789" customWidth="1"/>
    <col min="15364" max="15364" width="9" style="789" customWidth="1"/>
    <col min="15365" max="15365" width="18.7109375" style="789" customWidth="1"/>
    <col min="15366" max="15612" width="9.140625" style="789"/>
    <col min="15613" max="15613" width="49.42578125" style="789" customWidth="1"/>
    <col min="15614" max="15615" width="3.5703125" style="789" customWidth="1"/>
    <col min="15616" max="15616" width="11.42578125" style="789" customWidth="1"/>
    <col min="15617" max="15619" width="5.7109375" style="789" customWidth="1"/>
    <col min="15620" max="15620" width="9" style="789" customWidth="1"/>
    <col min="15621" max="15621" width="18.7109375" style="789" customWidth="1"/>
    <col min="15622" max="15868" width="9.140625" style="789"/>
    <col min="15869" max="15869" width="49.42578125" style="789" customWidth="1"/>
    <col min="15870" max="15871" width="3.5703125" style="789" customWidth="1"/>
    <col min="15872" max="15872" width="11.42578125" style="789" customWidth="1"/>
    <col min="15873" max="15875" width="5.7109375" style="789" customWidth="1"/>
    <col min="15876" max="15876" width="9" style="789" customWidth="1"/>
    <col min="15877" max="15877" width="18.7109375" style="789" customWidth="1"/>
    <col min="15878" max="16124" width="9.140625" style="789"/>
    <col min="16125" max="16125" width="49.42578125" style="789" customWidth="1"/>
    <col min="16126" max="16127" width="3.5703125" style="789" customWidth="1"/>
    <col min="16128" max="16128" width="11.42578125" style="789" customWidth="1"/>
    <col min="16129" max="16131" width="5.7109375" style="789" customWidth="1"/>
    <col min="16132" max="16132" width="9" style="789" customWidth="1"/>
    <col min="16133" max="16133" width="18.7109375" style="789" customWidth="1"/>
    <col min="16134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99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99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99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99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99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98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98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98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99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99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900"/>
    </row>
    <row r="12" spans="1:9" s="179" customFormat="1" ht="33.75" customHeight="1" x14ac:dyDescent="0.2">
      <c r="A12" s="1142" t="s">
        <v>127</v>
      </c>
      <c r="B12" s="1142"/>
      <c r="C12" s="1142"/>
      <c r="D12" s="1142"/>
      <c r="E12" s="1142"/>
      <c r="F12" s="1142"/>
      <c r="G12" s="1142"/>
      <c r="H12" s="1142"/>
      <c r="I12" s="520"/>
    </row>
    <row r="13" spans="1:9" s="179" customFormat="1" ht="6" customHeight="1" x14ac:dyDescent="0.2">
      <c r="E13" s="842"/>
      <c r="F13" s="842"/>
      <c r="G13" s="842"/>
      <c r="H13" s="842"/>
      <c r="I13" s="520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520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902"/>
    </row>
    <row r="16" spans="1:9" x14ac:dyDescent="0.25">
      <c r="A16" s="564" t="s">
        <v>640</v>
      </c>
      <c r="B16" s="581" t="s">
        <v>106</v>
      </c>
      <c r="C16" s="581" t="s">
        <v>128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8916.3000000000011</v>
      </c>
      <c r="I16" s="638"/>
    </row>
    <row r="17" spans="1:10" x14ac:dyDescent="0.25">
      <c r="A17" s="565" t="s">
        <v>641</v>
      </c>
      <c r="B17" s="846" t="s">
        <v>106</v>
      </c>
      <c r="C17" s="846" t="s">
        <v>128</v>
      </c>
      <c r="D17" s="846" t="s">
        <v>485</v>
      </c>
      <c r="E17" s="846" t="s">
        <v>345</v>
      </c>
      <c r="F17" s="558">
        <v>210</v>
      </c>
      <c r="G17" s="558"/>
      <c r="H17" s="847">
        <f>H18+H19+H21+H22</f>
        <v>8644.2000000000007</v>
      </c>
      <c r="I17" s="638"/>
    </row>
    <row r="18" spans="1:10" x14ac:dyDescent="0.25">
      <c r="A18" s="566" t="s">
        <v>346</v>
      </c>
      <c r="B18" s="848" t="s">
        <v>106</v>
      </c>
      <c r="C18" s="848" t="s">
        <v>128</v>
      </c>
      <c r="D18" s="848" t="s">
        <v>137</v>
      </c>
      <c r="E18" s="581" t="s">
        <v>414</v>
      </c>
      <c r="F18" s="559">
        <v>211</v>
      </c>
      <c r="G18" s="559"/>
      <c r="H18" s="850">
        <f>рЗП!G11</f>
        <v>6510.2</v>
      </c>
      <c r="I18" s="638"/>
    </row>
    <row r="19" spans="1:10" x14ac:dyDescent="0.25">
      <c r="A19" s="566" t="s">
        <v>642</v>
      </c>
      <c r="B19" s="848" t="s">
        <v>106</v>
      </c>
      <c r="C19" s="848" t="s">
        <v>128</v>
      </c>
      <c r="D19" s="848" t="s">
        <v>137</v>
      </c>
      <c r="E19" s="861" t="s">
        <v>484</v>
      </c>
      <c r="F19" s="559">
        <v>212</v>
      </c>
      <c r="G19" s="559"/>
      <c r="H19" s="850">
        <f>H20</f>
        <v>26</v>
      </c>
      <c r="I19" s="638"/>
    </row>
    <row r="20" spans="1:10" x14ac:dyDescent="0.25">
      <c r="A20" s="567" t="s">
        <v>347</v>
      </c>
      <c r="B20" s="852" t="s">
        <v>106</v>
      </c>
      <c r="C20" s="852" t="s">
        <v>128</v>
      </c>
      <c r="D20" s="852" t="s">
        <v>137</v>
      </c>
      <c r="E20" s="428" t="s">
        <v>484</v>
      </c>
      <c r="F20" s="560">
        <v>212</v>
      </c>
      <c r="G20" s="560">
        <v>610</v>
      </c>
      <c r="H20" s="281">
        <f>рЗП!I56</f>
        <v>26</v>
      </c>
      <c r="I20" s="638"/>
    </row>
    <row r="21" spans="1:10" x14ac:dyDescent="0.25">
      <c r="A21" s="566" t="s">
        <v>643</v>
      </c>
      <c r="B21" s="848" t="s">
        <v>106</v>
      </c>
      <c r="C21" s="848" t="s">
        <v>128</v>
      </c>
      <c r="D21" s="848" t="s">
        <v>137</v>
      </c>
      <c r="E21" s="581" t="s">
        <v>415</v>
      </c>
      <c r="F21" s="559">
        <v>213</v>
      </c>
      <c r="G21" s="559"/>
      <c r="H21" s="850">
        <f>рЗП!G18</f>
        <v>1942.8</v>
      </c>
      <c r="I21" s="638"/>
    </row>
    <row r="22" spans="1:10" ht="24" x14ac:dyDescent="0.25">
      <c r="A22" s="566" t="s">
        <v>644</v>
      </c>
      <c r="B22" s="848" t="s">
        <v>106</v>
      </c>
      <c r="C22" s="848" t="s">
        <v>128</v>
      </c>
      <c r="D22" s="848" t="s">
        <v>137</v>
      </c>
      <c r="E22" s="861" t="s">
        <v>484</v>
      </c>
      <c r="F22" s="559">
        <v>214</v>
      </c>
      <c r="G22" s="559"/>
      <c r="H22" s="850">
        <f>H23</f>
        <v>165.2</v>
      </c>
      <c r="I22" s="638"/>
    </row>
    <row r="23" spans="1:10" x14ac:dyDescent="0.25">
      <c r="A23" s="567" t="s">
        <v>423</v>
      </c>
      <c r="B23" s="852" t="s">
        <v>106</v>
      </c>
      <c r="C23" s="852" t="s">
        <v>128</v>
      </c>
      <c r="D23" s="852" t="s">
        <v>137</v>
      </c>
      <c r="E23" s="428" t="s">
        <v>484</v>
      </c>
      <c r="F23" s="560">
        <v>214</v>
      </c>
      <c r="G23" s="560">
        <v>831</v>
      </c>
      <c r="H23" s="281">
        <f>рЗП!G49</f>
        <v>165.2</v>
      </c>
      <c r="I23" s="638">
        <v>36.700000000000003</v>
      </c>
      <c r="J23" s="225" t="s">
        <v>938</v>
      </c>
    </row>
    <row r="24" spans="1:10" x14ac:dyDescent="0.25">
      <c r="A24" s="565" t="s">
        <v>645</v>
      </c>
      <c r="B24" s="846" t="s">
        <v>106</v>
      </c>
      <c r="C24" s="846" t="s">
        <v>128</v>
      </c>
      <c r="D24" s="846" t="s">
        <v>137</v>
      </c>
      <c r="E24" s="846" t="s">
        <v>484</v>
      </c>
      <c r="F24" s="558">
        <v>220</v>
      </c>
      <c r="G24" s="558"/>
      <c r="H24" s="847">
        <f>H25+H26+H28+H32+H36</f>
        <v>247.89999999999998</v>
      </c>
      <c r="I24" s="638"/>
    </row>
    <row r="25" spans="1:10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  <c r="I25" s="638"/>
    </row>
    <row r="26" spans="1:10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  <c r="I26" s="638"/>
    </row>
    <row r="27" spans="1:10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  <c r="I27" s="638"/>
    </row>
    <row r="28" spans="1:10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  <c r="I28" s="638"/>
    </row>
    <row r="29" spans="1:10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  <c r="I29" s="638"/>
    </row>
    <row r="30" spans="1:10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  <c r="I30" s="638"/>
    </row>
    <row r="31" spans="1:10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  <c r="I31" s="638"/>
    </row>
    <row r="32" spans="1:10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  <c r="I32" s="638"/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  <c r="I33" s="638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  <c r="I34" s="638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  <c r="I35" s="638"/>
    </row>
    <row r="36" spans="1:9" x14ac:dyDescent="0.25">
      <c r="A36" s="566" t="s">
        <v>562</v>
      </c>
      <c r="B36" s="848" t="s">
        <v>106</v>
      </c>
      <c r="C36" s="848" t="s">
        <v>128</v>
      </c>
      <c r="D36" s="848" t="s">
        <v>137</v>
      </c>
      <c r="E36" s="848" t="s">
        <v>484</v>
      </c>
      <c r="F36" s="559" t="s">
        <v>350</v>
      </c>
      <c r="G36" s="559"/>
      <c r="H36" s="850">
        <f>SUM(H37:H43)</f>
        <v>247.89999999999998</v>
      </c>
      <c r="I36" s="638"/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638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  <c r="I38" s="638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  <c r="I39" s="638"/>
    </row>
    <row r="40" spans="1:9" x14ac:dyDescent="0.25">
      <c r="A40" s="567" t="s">
        <v>348</v>
      </c>
      <c r="B40" s="852" t="s">
        <v>106</v>
      </c>
      <c r="C40" s="852" t="s">
        <v>128</v>
      </c>
      <c r="D40" s="852" t="s">
        <v>137</v>
      </c>
      <c r="E40" s="428" t="s">
        <v>484</v>
      </c>
      <c r="F40" s="560">
        <v>226</v>
      </c>
      <c r="G40" s="560">
        <v>620</v>
      </c>
      <c r="H40" s="281">
        <f>рЗП!I62</f>
        <v>74.2</v>
      </c>
      <c r="I40" s="638"/>
    </row>
    <row r="41" spans="1:9" x14ac:dyDescent="0.25">
      <c r="A41" s="567" t="s">
        <v>349</v>
      </c>
      <c r="B41" s="852" t="s">
        <v>106</v>
      </c>
      <c r="C41" s="852" t="s">
        <v>128</v>
      </c>
      <c r="D41" s="852" t="s">
        <v>137</v>
      </c>
      <c r="E41" s="428" t="s">
        <v>484</v>
      </c>
      <c r="F41" s="560">
        <v>226</v>
      </c>
      <c r="G41" s="560">
        <v>630</v>
      </c>
      <c r="H41" s="281">
        <f>рЗП!I63</f>
        <v>173.7</v>
      </c>
      <c r="I41" s="638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  <c r="I42" s="638"/>
    </row>
    <row r="43" spans="1:9" x14ac:dyDescent="0.25">
      <c r="A43" s="734" t="s">
        <v>371</v>
      </c>
      <c r="B43" s="852"/>
      <c r="C43" s="852"/>
      <c r="D43" s="852"/>
      <c r="E43" s="852"/>
      <c r="F43" s="561">
        <v>226</v>
      </c>
      <c r="G43" s="561">
        <v>845</v>
      </c>
      <c r="H43" s="855"/>
      <c r="I43" s="638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  <c r="I44" s="638"/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  <c r="I45" s="638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  <c r="I46" s="638"/>
    </row>
    <row r="47" spans="1:9" x14ac:dyDescent="0.25">
      <c r="A47" s="566" t="s">
        <v>652</v>
      </c>
      <c r="B47" s="854"/>
      <c r="C47" s="854"/>
      <c r="D47" s="854"/>
      <c r="E47" s="854"/>
      <c r="F47" s="559">
        <v>251</v>
      </c>
      <c r="G47" s="559"/>
      <c r="H47" s="580"/>
      <c r="I47" s="638"/>
    </row>
    <row r="48" spans="1:9" x14ac:dyDescent="0.25">
      <c r="A48" s="565" t="s">
        <v>653</v>
      </c>
      <c r="B48" s="857" t="s">
        <v>106</v>
      </c>
      <c r="C48" s="857" t="s">
        <v>128</v>
      </c>
      <c r="D48" s="857" t="s">
        <v>137</v>
      </c>
      <c r="E48" s="857" t="s">
        <v>414</v>
      </c>
      <c r="F48" s="558" t="s">
        <v>366</v>
      </c>
      <c r="G48" s="558"/>
      <c r="H48" s="858">
        <f>H49+H51</f>
        <v>24.2</v>
      </c>
      <c r="I48" s="638"/>
    </row>
    <row r="49" spans="1:10" ht="24" x14ac:dyDescent="0.25">
      <c r="A49" s="566" t="s">
        <v>654</v>
      </c>
      <c r="B49" s="854"/>
      <c r="C49" s="854"/>
      <c r="D49" s="854"/>
      <c r="E49" s="581"/>
      <c r="F49" s="559">
        <v>264</v>
      </c>
      <c r="G49" s="559"/>
      <c r="H49" s="580">
        <f>H50</f>
        <v>0</v>
      </c>
      <c r="I49" s="638"/>
    </row>
    <row r="50" spans="1:10" x14ac:dyDescent="0.25">
      <c r="A50" s="567" t="s">
        <v>367</v>
      </c>
      <c r="B50" s="848"/>
      <c r="C50" s="848"/>
      <c r="D50" s="848"/>
      <c r="E50" s="861"/>
      <c r="F50" s="560">
        <v>264</v>
      </c>
      <c r="G50" s="560" t="s">
        <v>368</v>
      </c>
      <c r="H50" s="281"/>
      <c r="I50" s="638"/>
    </row>
    <row r="51" spans="1:10" ht="24" x14ac:dyDescent="0.25">
      <c r="A51" s="566" t="s">
        <v>382</v>
      </c>
      <c r="B51" s="848" t="s">
        <v>106</v>
      </c>
      <c r="C51" s="848" t="s">
        <v>128</v>
      </c>
      <c r="D51" s="848" t="s">
        <v>137</v>
      </c>
      <c r="E51" s="861" t="s">
        <v>414</v>
      </c>
      <c r="F51" s="559">
        <v>266</v>
      </c>
      <c r="G51" s="559"/>
      <c r="H51" s="850">
        <f>рЗП!I71</f>
        <v>24.2</v>
      </c>
      <c r="I51" s="638">
        <v>-29.8</v>
      </c>
      <c r="J51" s="508" t="s">
        <v>940</v>
      </c>
    </row>
    <row r="52" spans="1:10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  <c r="I52" s="638"/>
    </row>
    <row r="53" spans="1:10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  <c r="I53" s="638"/>
    </row>
    <row r="54" spans="1:10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  <c r="I54" s="638"/>
    </row>
    <row r="55" spans="1:10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  <c r="I55" s="638"/>
    </row>
    <row r="56" spans="1:10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10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  <c r="I57" s="638"/>
    </row>
    <row r="58" spans="1:10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  <c r="I58" s="638"/>
    </row>
    <row r="59" spans="1:10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  <c r="I59" s="638"/>
    </row>
    <row r="60" spans="1:10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  <c r="I60" s="638"/>
    </row>
    <row r="61" spans="1:10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  <c r="I61" s="638"/>
    </row>
    <row r="62" spans="1:10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  <c r="I62" s="638"/>
    </row>
    <row r="63" spans="1:10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  <c r="I63" s="638"/>
    </row>
    <row r="64" spans="1:10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  <c r="I64" s="638"/>
    </row>
    <row r="65" spans="1:9" x14ac:dyDescent="0.25">
      <c r="A65" s="569" t="s">
        <v>487</v>
      </c>
      <c r="B65" s="848" t="s">
        <v>106</v>
      </c>
      <c r="C65" s="848" t="s">
        <v>128</v>
      </c>
      <c r="D65" s="848" t="s">
        <v>137</v>
      </c>
      <c r="E65" s="861" t="s">
        <v>114</v>
      </c>
      <c r="F65" s="563"/>
      <c r="G65" s="563"/>
      <c r="H65" s="850">
        <f>H18+H19+H21+H22+H40+H41+H51</f>
        <v>8916.3000000000029</v>
      </c>
      <c r="I65" s="638"/>
    </row>
    <row r="66" spans="1:9" x14ac:dyDescent="0.25">
      <c r="A66" s="571" t="s">
        <v>377</v>
      </c>
      <c r="B66" s="848" t="s">
        <v>106</v>
      </c>
      <c r="C66" s="848" t="s">
        <v>128</v>
      </c>
      <c r="D66" s="848" t="s">
        <v>485</v>
      </c>
      <c r="E66" s="848" t="s">
        <v>345</v>
      </c>
      <c r="F66" s="570"/>
      <c r="G66" s="570"/>
      <c r="H66" s="850">
        <f>H59+H16</f>
        <v>8916.3000000000011</v>
      </c>
      <c r="I66" s="638"/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  <mergeCell ref="A6:H6"/>
    <mergeCell ref="A7:H7"/>
    <mergeCell ref="E8:F8"/>
    <mergeCell ref="G8:H8"/>
    <mergeCell ref="A9:D9"/>
    <mergeCell ref="E9:F9"/>
    <mergeCell ref="G9:H9"/>
    <mergeCell ref="D5:E5"/>
    <mergeCell ref="F5:H5"/>
    <mergeCell ref="D1:H1"/>
    <mergeCell ref="D2:H2"/>
    <mergeCell ref="D3:H3"/>
    <mergeCell ref="D4:E4"/>
    <mergeCell ref="F4:H4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R81"/>
  <sheetViews>
    <sheetView topLeftCell="A37" workbookViewId="0">
      <selection activeCell="H71" sqref="H71"/>
    </sheetView>
  </sheetViews>
  <sheetFormatPr defaultRowHeight="15" x14ac:dyDescent="0.25"/>
  <cols>
    <col min="1" max="1" width="4.28515625" style="203" customWidth="1"/>
    <col min="2" max="2" width="27.42578125" style="203" customWidth="1"/>
    <col min="3" max="4" width="6.7109375" style="203" customWidth="1"/>
    <col min="5" max="5" width="14.42578125" style="203" customWidth="1"/>
    <col min="6" max="6" width="13.140625" style="203" customWidth="1"/>
    <col min="7" max="7" width="10.7109375" style="203" customWidth="1"/>
    <col min="8" max="11" width="10.5703125" style="203" customWidth="1"/>
    <col min="12" max="12" width="11.42578125" style="203" customWidth="1"/>
    <col min="13" max="13" width="14.7109375" style="203" customWidth="1"/>
    <col min="14" max="14" width="11.85546875" style="203" bestFit="1" customWidth="1"/>
    <col min="15" max="15" width="10.42578125" style="203" bestFit="1" customWidth="1"/>
    <col min="16" max="16" width="9.140625" style="203"/>
    <col min="17" max="17" width="12.28515625" style="203" customWidth="1"/>
    <col min="18" max="18" width="11.7109375" style="203" bestFit="1" customWidth="1"/>
    <col min="19" max="252" width="9.140625" style="203"/>
    <col min="253" max="253" width="4.28515625" style="203" customWidth="1"/>
    <col min="254" max="254" width="10.5703125" style="203" customWidth="1"/>
    <col min="255" max="255" width="12" style="203" customWidth="1"/>
    <col min="256" max="256" width="8.7109375" style="203" customWidth="1"/>
    <col min="257" max="257" width="7.28515625" style="203" customWidth="1"/>
    <col min="258" max="258" width="14.42578125" style="203" customWidth="1"/>
    <col min="259" max="259" width="7.140625" style="203" customWidth="1"/>
    <col min="260" max="260" width="7" style="203" customWidth="1"/>
    <col min="261" max="261" width="11.7109375" style="203" customWidth="1"/>
    <col min="262" max="262" width="10.140625" style="203" customWidth="1"/>
    <col min="263" max="263" width="10.140625" style="203" bestFit="1" customWidth="1"/>
    <col min="264" max="264" width="14.5703125" style="203" bestFit="1" customWidth="1"/>
    <col min="265" max="266" width="12.85546875" style="203" bestFit="1" customWidth="1"/>
    <col min="267" max="267" width="11.42578125" style="203" customWidth="1"/>
    <col min="268" max="268" width="14.7109375" style="203" customWidth="1"/>
    <col min="269" max="269" width="11.85546875" style="203" bestFit="1" customWidth="1"/>
    <col min="270" max="271" width="9.85546875" style="203" bestFit="1" customWidth="1"/>
    <col min="272" max="273" width="9.140625" style="203"/>
    <col min="274" max="274" width="11.7109375" style="203" bestFit="1" customWidth="1"/>
    <col min="275" max="508" width="9.140625" style="203"/>
    <col min="509" max="509" width="4.28515625" style="203" customWidth="1"/>
    <col min="510" max="510" width="10.5703125" style="203" customWidth="1"/>
    <col min="511" max="511" width="12" style="203" customWidth="1"/>
    <col min="512" max="512" width="8.7109375" style="203" customWidth="1"/>
    <col min="513" max="513" width="7.28515625" style="203" customWidth="1"/>
    <col min="514" max="514" width="14.42578125" style="203" customWidth="1"/>
    <col min="515" max="515" width="7.140625" style="203" customWidth="1"/>
    <col min="516" max="516" width="7" style="203" customWidth="1"/>
    <col min="517" max="517" width="11.7109375" style="203" customWidth="1"/>
    <col min="518" max="518" width="10.140625" style="203" customWidth="1"/>
    <col min="519" max="519" width="10.140625" style="203" bestFit="1" customWidth="1"/>
    <col min="520" max="520" width="14.5703125" style="203" bestFit="1" customWidth="1"/>
    <col min="521" max="522" width="12.85546875" style="203" bestFit="1" customWidth="1"/>
    <col min="523" max="523" width="11.42578125" style="203" customWidth="1"/>
    <col min="524" max="524" width="14.7109375" style="203" customWidth="1"/>
    <col min="525" max="525" width="11.85546875" style="203" bestFit="1" customWidth="1"/>
    <col min="526" max="527" width="9.85546875" style="203" bestFit="1" customWidth="1"/>
    <col min="528" max="529" width="9.140625" style="203"/>
    <col min="530" max="530" width="11.7109375" style="203" bestFit="1" customWidth="1"/>
    <col min="531" max="764" width="9.140625" style="203"/>
    <col min="765" max="765" width="4.28515625" style="203" customWidth="1"/>
    <col min="766" max="766" width="10.5703125" style="203" customWidth="1"/>
    <col min="767" max="767" width="12" style="203" customWidth="1"/>
    <col min="768" max="768" width="8.7109375" style="203" customWidth="1"/>
    <col min="769" max="769" width="7.28515625" style="203" customWidth="1"/>
    <col min="770" max="770" width="14.42578125" style="203" customWidth="1"/>
    <col min="771" max="771" width="7.140625" style="203" customWidth="1"/>
    <col min="772" max="772" width="7" style="203" customWidth="1"/>
    <col min="773" max="773" width="11.7109375" style="203" customWidth="1"/>
    <col min="774" max="774" width="10.140625" style="203" customWidth="1"/>
    <col min="775" max="775" width="10.140625" style="203" bestFit="1" customWidth="1"/>
    <col min="776" max="776" width="14.5703125" style="203" bestFit="1" customWidth="1"/>
    <col min="777" max="778" width="12.85546875" style="203" bestFit="1" customWidth="1"/>
    <col min="779" max="779" width="11.42578125" style="203" customWidth="1"/>
    <col min="780" max="780" width="14.7109375" style="203" customWidth="1"/>
    <col min="781" max="781" width="11.85546875" style="203" bestFit="1" customWidth="1"/>
    <col min="782" max="783" width="9.85546875" style="203" bestFit="1" customWidth="1"/>
    <col min="784" max="785" width="9.140625" style="203"/>
    <col min="786" max="786" width="11.7109375" style="203" bestFit="1" customWidth="1"/>
    <col min="787" max="1020" width="9.140625" style="203"/>
    <col min="1021" max="1021" width="4.28515625" style="203" customWidth="1"/>
    <col min="1022" max="1022" width="10.5703125" style="203" customWidth="1"/>
    <col min="1023" max="1023" width="12" style="203" customWidth="1"/>
    <col min="1024" max="1024" width="8.7109375" style="203" customWidth="1"/>
    <col min="1025" max="1025" width="7.28515625" style="203" customWidth="1"/>
    <col min="1026" max="1026" width="14.42578125" style="203" customWidth="1"/>
    <col min="1027" max="1027" width="7.140625" style="203" customWidth="1"/>
    <col min="1028" max="1028" width="7" style="203" customWidth="1"/>
    <col min="1029" max="1029" width="11.7109375" style="203" customWidth="1"/>
    <col min="1030" max="1030" width="10.140625" style="203" customWidth="1"/>
    <col min="1031" max="1031" width="10.140625" style="203" bestFit="1" customWidth="1"/>
    <col min="1032" max="1032" width="14.5703125" style="203" bestFit="1" customWidth="1"/>
    <col min="1033" max="1034" width="12.85546875" style="203" bestFit="1" customWidth="1"/>
    <col min="1035" max="1035" width="11.42578125" style="203" customWidth="1"/>
    <col min="1036" max="1036" width="14.7109375" style="203" customWidth="1"/>
    <col min="1037" max="1037" width="11.85546875" style="203" bestFit="1" customWidth="1"/>
    <col min="1038" max="1039" width="9.85546875" style="203" bestFit="1" customWidth="1"/>
    <col min="1040" max="1041" width="9.140625" style="203"/>
    <col min="1042" max="1042" width="11.7109375" style="203" bestFit="1" customWidth="1"/>
    <col min="1043" max="1276" width="9.140625" style="203"/>
    <col min="1277" max="1277" width="4.28515625" style="203" customWidth="1"/>
    <col min="1278" max="1278" width="10.5703125" style="203" customWidth="1"/>
    <col min="1279" max="1279" width="12" style="203" customWidth="1"/>
    <col min="1280" max="1280" width="8.7109375" style="203" customWidth="1"/>
    <col min="1281" max="1281" width="7.28515625" style="203" customWidth="1"/>
    <col min="1282" max="1282" width="14.42578125" style="203" customWidth="1"/>
    <col min="1283" max="1283" width="7.140625" style="203" customWidth="1"/>
    <col min="1284" max="1284" width="7" style="203" customWidth="1"/>
    <col min="1285" max="1285" width="11.7109375" style="203" customWidth="1"/>
    <col min="1286" max="1286" width="10.140625" style="203" customWidth="1"/>
    <col min="1287" max="1287" width="10.140625" style="203" bestFit="1" customWidth="1"/>
    <col min="1288" max="1288" width="14.5703125" style="203" bestFit="1" customWidth="1"/>
    <col min="1289" max="1290" width="12.85546875" style="203" bestFit="1" customWidth="1"/>
    <col min="1291" max="1291" width="11.42578125" style="203" customWidth="1"/>
    <col min="1292" max="1292" width="14.7109375" style="203" customWidth="1"/>
    <col min="1293" max="1293" width="11.85546875" style="203" bestFit="1" customWidth="1"/>
    <col min="1294" max="1295" width="9.85546875" style="203" bestFit="1" customWidth="1"/>
    <col min="1296" max="1297" width="9.140625" style="203"/>
    <col min="1298" max="1298" width="11.7109375" style="203" bestFit="1" customWidth="1"/>
    <col min="1299" max="1532" width="9.140625" style="203"/>
    <col min="1533" max="1533" width="4.28515625" style="203" customWidth="1"/>
    <col min="1534" max="1534" width="10.5703125" style="203" customWidth="1"/>
    <col min="1535" max="1535" width="12" style="203" customWidth="1"/>
    <col min="1536" max="1536" width="8.7109375" style="203" customWidth="1"/>
    <col min="1537" max="1537" width="7.28515625" style="203" customWidth="1"/>
    <col min="1538" max="1538" width="14.42578125" style="203" customWidth="1"/>
    <col min="1539" max="1539" width="7.140625" style="203" customWidth="1"/>
    <col min="1540" max="1540" width="7" style="203" customWidth="1"/>
    <col min="1541" max="1541" width="11.7109375" style="203" customWidth="1"/>
    <col min="1542" max="1542" width="10.140625" style="203" customWidth="1"/>
    <col min="1543" max="1543" width="10.140625" style="203" bestFit="1" customWidth="1"/>
    <col min="1544" max="1544" width="14.5703125" style="203" bestFit="1" customWidth="1"/>
    <col min="1545" max="1546" width="12.85546875" style="203" bestFit="1" customWidth="1"/>
    <col min="1547" max="1547" width="11.42578125" style="203" customWidth="1"/>
    <col min="1548" max="1548" width="14.7109375" style="203" customWidth="1"/>
    <col min="1549" max="1549" width="11.85546875" style="203" bestFit="1" customWidth="1"/>
    <col min="1550" max="1551" width="9.85546875" style="203" bestFit="1" customWidth="1"/>
    <col min="1552" max="1553" width="9.140625" style="203"/>
    <col min="1554" max="1554" width="11.7109375" style="203" bestFit="1" customWidth="1"/>
    <col min="1555" max="1788" width="9.140625" style="203"/>
    <col min="1789" max="1789" width="4.28515625" style="203" customWidth="1"/>
    <col min="1790" max="1790" width="10.5703125" style="203" customWidth="1"/>
    <col min="1791" max="1791" width="12" style="203" customWidth="1"/>
    <col min="1792" max="1792" width="8.7109375" style="203" customWidth="1"/>
    <col min="1793" max="1793" width="7.28515625" style="203" customWidth="1"/>
    <col min="1794" max="1794" width="14.42578125" style="203" customWidth="1"/>
    <col min="1795" max="1795" width="7.140625" style="203" customWidth="1"/>
    <col min="1796" max="1796" width="7" style="203" customWidth="1"/>
    <col min="1797" max="1797" width="11.7109375" style="203" customWidth="1"/>
    <col min="1798" max="1798" width="10.140625" style="203" customWidth="1"/>
    <col min="1799" max="1799" width="10.140625" style="203" bestFit="1" customWidth="1"/>
    <col min="1800" max="1800" width="14.5703125" style="203" bestFit="1" customWidth="1"/>
    <col min="1801" max="1802" width="12.85546875" style="203" bestFit="1" customWidth="1"/>
    <col min="1803" max="1803" width="11.42578125" style="203" customWidth="1"/>
    <col min="1804" max="1804" width="14.7109375" style="203" customWidth="1"/>
    <col min="1805" max="1805" width="11.85546875" style="203" bestFit="1" customWidth="1"/>
    <col min="1806" max="1807" width="9.85546875" style="203" bestFit="1" customWidth="1"/>
    <col min="1808" max="1809" width="9.140625" style="203"/>
    <col min="1810" max="1810" width="11.7109375" style="203" bestFit="1" customWidth="1"/>
    <col min="1811" max="2044" width="9.140625" style="203"/>
    <col min="2045" max="2045" width="4.28515625" style="203" customWidth="1"/>
    <col min="2046" max="2046" width="10.5703125" style="203" customWidth="1"/>
    <col min="2047" max="2047" width="12" style="203" customWidth="1"/>
    <col min="2048" max="2048" width="8.7109375" style="203" customWidth="1"/>
    <col min="2049" max="2049" width="7.28515625" style="203" customWidth="1"/>
    <col min="2050" max="2050" width="14.42578125" style="203" customWidth="1"/>
    <col min="2051" max="2051" width="7.140625" style="203" customWidth="1"/>
    <col min="2052" max="2052" width="7" style="203" customWidth="1"/>
    <col min="2053" max="2053" width="11.7109375" style="203" customWidth="1"/>
    <col min="2054" max="2054" width="10.140625" style="203" customWidth="1"/>
    <col min="2055" max="2055" width="10.140625" style="203" bestFit="1" customWidth="1"/>
    <col min="2056" max="2056" width="14.5703125" style="203" bestFit="1" customWidth="1"/>
    <col min="2057" max="2058" width="12.85546875" style="203" bestFit="1" customWidth="1"/>
    <col min="2059" max="2059" width="11.42578125" style="203" customWidth="1"/>
    <col min="2060" max="2060" width="14.7109375" style="203" customWidth="1"/>
    <col min="2061" max="2061" width="11.85546875" style="203" bestFit="1" customWidth="1"/>
    <col min="2062" max="2063" width="9.85546875" style="203" bestFit="1" customWidth="1"/>
    <col min="2064" max="2065" width="9.140625" style="203"/>
    <col min="2066" max="2066" width="11.7109375" style="203" bestFit="1" customWidth="1"/>
    <col min="2067" max="2300" width="9.140625" style="203"/>
    <col min="2301" max="2301" width="4.28515625" style="203" customWidth="1"/>
    <col min="2302" max="2302" width="10.5703125" style="203" customWidth="1"/>
    <col min="2303" max="2303" width="12" style="203" customWidth="1"/>
    <col min="2304" max="2304" width="8.7109375" style="203" customWidth="1"/>
    <col min="2305" max="2305" width="7.28515625" style="203" customWidth="1"/>
    <col min="2306" max="2306" width="14.42578125" style="203" customWidth="1"/>
    <col min="2307" max="2307" width="7.140625" style="203" customWidth="1"/>
    <col min="2308" max="2308" width="7" style="203" customWidth="1"/>
    <col min="2309" max="2309" width="11.7109375" style="203" customWidth="1"/>
    <col min="2310" max="2310" width="10.140625" style="203" customWidth="1"/>
    <col min="2311" max="2311" width="10.140625" style="203" bestFit="1" customWidth="1"/>
    <col min="2312" max="2312" width="14.5703125" style="203" bestFit="1" customWidth="1"/>
    <col min="2313" max="2314" width="12.85546875" style="203" bestFit="1" customWidth="1"/>
    <col min="2315" max="2315" width="11.42578125" style="203" customWidth="1"/>
    <col min="2316" max="2316" width="14.7109375" style="203" customWidth="1"/>
    <col min="2317" max="2317" width="11.85546875" style="203" bestFit="1" customWidth="1"/>
    <col min="2318" max="2319" width="9.85546875" style="203" bestFit="1" customWidth="1"/>
    <col min="2320" max="2321" width="9.140625" style="203"/>
    <col min="2322" max="2322" width="11.7109375" style="203" bestFit="1" customWidth="1"/>
    <col min="2323" max="2556" width="9.140625" style="203"/>
    <col min="2557" max="2557" width="4.28515625" style="203" customWidth="1"/>
    <col min="2558" max="2558" width="10.5703125" style="203" customWidth="1"/>
    <col min="2559" max="2559" width="12" style="203" customWidth="1"/>
    <col min="2560" max="2560" width="8.7109375" style="203" customWidth="1"/>
    <col min="2561" max="2561" width="7.28515625" style="203" customWidth="1"/>
    <col min="2562" max="2562" width="14.42578125" style="203" customWidth="1"/>
    <col min="2563" max="2563" width="7.140625" style="203" customWidth="1"/>
    <col min="2564" max="2564" width="7" style="203" customWidth="1"/>
    <col min="2565" max="2565" width="11.7109375" style="203" customWidth="1"/>
    <col min="2566" max="2566" width="10.140625" style="203" customWidth="1"/>
    <col min="2567" max="2567" width="10.140625" style="203" bestFit="1" customWidth="1"/>
    <col min="2568" max="2568" width="14.5703125" style="203" bestFit="1" customWidth="1"/>
    <col min="2569" max="2570" width="12.85546875" style="203" bestFit="1" customWidth="1"/>
    <col min="2571" max="2571" width="11.42578125" style="203" customWidth="1"/>
    <col min="2572" max="2572" width="14.7109375" style="203" customWidth="1"/>
    <col min="2573" max="2573" width="11.85546875" style="203" bestFit="1" customWidth="1"/>
    <col min="2574" max="2575" width="9.85546875" style="203" bestFit="1" customWidth="1"/>
    <col min="2576" max="2577" width="9.140625" style="203"/>
    <col min="2578" max="2578" width="11.7109375" style="203" bestFit="1" customWidth="1"/>
    <col min="2579" max="2812" width="9.140625" style="203"/>
    <col min="2813" max="2813" width="4.28515625" style="203" customWidth="1"/>
    <col min="2814" max="2814" width="10.5703125" style="203" customWidth="1"/>
    <col min="2815" max="2815" width="12" style="203" customWidth="1"/>
    <col min="2816" max="2816" width="8.7109375" style="203" customWidth="1"/>
    <col min="2817" max="2817" width="7.28515625" style="203" customWidth="1"/>
    <col min="2818" max="2818" width="14.42578125" style="203" customWidth="1"/>
    <col min="2819" max="2819" width="7.140625" style="203" customWidth="1"/>
    <col min="2820" max="2820" width="7" style="203" customWidth="1"/>
    <col min="2821" max="2821" width="11.7109375" style="203" customWidth="1"/>
    <col min="2822" max="2822" width="10.140625" style="203" customWidth="1"/>
    <col min="2823" max="2823" width="10.140625" style="203" bestFit="1" customWidth="1"/>
    <col min="2824" max="2824" width="14.5703125" style="203" bestFit="1" customWidth="1"/>
    <col min="2825" max="2826" width="12.85546875" style="203" bestFit="1" customWidth="1"/>
    <col min="2827" max="2827" width="11.42578125" style="203" customWidth="1"/>
    <col min="2828" max="2828" width="14.7109375" style="203" customWidth="1"/>
    <col min="2829" max="2829" width="11.85546875" style="203" bestFit="1" customWidth="1"/>
    <col min="2830" max="2831" width="9.85546875" style="203" bestFit="1" customWidth="1"/>
    <col min="2832" max="2833" width="9.140625" style="203"/>
    <col min="2834" max="2834" width="11.7109375" style="203" bestFit="1" customWidth="1"/>
    <col min="2835" max="3068" width="9.140625" style="203"/>
    <col min="3069" max="3069" width="4.28515625" style="203" customWidth="1"/>
    <col min="3070" max="3070" width="10.5703125" style="203" customWidth="1"/>
    <col min="3071" max="3071" width="12" style="203" customWidth="1"/>
    <col min="3072" max="3072" width="8.7109375" style="203" customWidth="1"/>
    <col min="3073" max="3073" width="7.28515625" style="203" customWidth="1"/>
    <col min="3074" max="3074" width="14.42578125" style="203" customWidth="1"/>
    <col min="3075" max="3075" width="7.140625" style="203" customWidth="1"/>
    <col min="3076" max="3076" width="7" style="203" customWidth="1"/>
    <col min="3077" max="3077" width="11.7109375" style="203" customWidth="1"/>
    <col min="3078" max="3078" width="10.140625" style="203" customWidth="1"/>
    <col min="3079" max="3079" width="10.140625" style="203" bestFit="1" customWidth="1"/>
    <col min="3080" max="3080" width="14.5703125" style="203" bestFit="1" customWidth="1"/>
    <col min="3081" max="3082" width="12.85546875" style="203" bestFit="1" customWidth="1"/>
    <col min="3083" max="3083" width="11.42578125" style="203" customWidth="1"/>
    <col min="3084" max="3084" width="14.7109375" style="203" customWidth="1"/>
    <col min="3085" max="3085" width="11.85546875" style="203" bestFit="1" customWidth="1"/>
    <col min="3086" max="3087" width="9.85546875" style="203" bestFit="1" customWidth="1"/>
    <col min="3088" max="3089" width="9.140625" style="203"/>
    <col min="3090" max="3090" width="11.7109375" style="203" bestFit="1" customWidth="1"/>
    <col min="3091" max="3324" width="9.140625" style="203"/>
    <col min="3325" max="3325" width="4.28515625" style="203" customWidth="1"/>
    <col min="3326" max="3326" width="10.5703125" style="203" customWidth="1"/>
    <col min="3327" max="3327" width="12" style="203" customWidth="1"/>
    <col min="3328" max="3328" width="8.7109375" style="203" customWidth="1"/>
    <col min="3329" max="3329" width="7.28515625" style="203" customWidth="1"/>
    <col min="3330" max="3330" width="14.42578125" style="203" customWidth="1"/>
    <col min="3331" max="3331" width="7.140625" style="203" customWidth="1"/>
    <col min="3332" max="3332" width="7" style="203" customWidth="1"/>
    <col min="3333" max="3333" width="11.7109375" style="203" customWidth="1"/>
    <col min="3334" max="3334" width="10.140625" style="203" customWidth="1"/>
    <col min="3335" max="3335" width="10.140625" style="203" bestFit="1" customWidth="1"/>
    <col min="3336" max="3336" width="14.5703125" style="203" bestFit="1" customWidth="1"/>
    <col min="3337" max="3338" width="12.85546875" style="203" bestFit="1" customWidth="1"/>
    <col min="3339" max="3339" width="11.42578125" style="203" customWidth="1"/>
    <col min="3340" max="3340" width="14.7109375" style="203" customWidth="1"/>
    <col min="3341" max="3341" width="11.85546875" style="203" bestFit="1" customWidth="1"/>
    <col min="3342" max="3343" width="9.85546875" style="203" bestFit="1" customWidth="1"/>
    <col min="3344" max="3345" width="9.140625" style="203"/>
    <col min="3346" max="3346" width="11.7109375" style="203" bestFit="1" customWidth="1"/>
    <col min="3347" max="3580" width="9.140625" style="203"/>
    <col min="3581" max="3581" width="4.28515625" style="203" customWidth="1"/>
    <col min="3582" max="3582" width="10.5703125" style="203" customWidth="1"/>
    <col min="3583" max="3583" width="12" style="203" customWidth="1"/>
    <col min="3584" max="3584" width="8.7109375" style="203" customWidth="1"/>
    <col min="3585" max="3585" width="7.28515625" style="203" customWidth="1"/>
    <col min="3586" max="3586" width="14.42578125" style="203" customWidth="1"/>
    <col min="3587" max="3587" width="7.140625" style="203" customWidth="1"/>
    <col min="3588" max="3588" width="7" style="203" customWidth="1"/>
    <col min="3589" max="3589" width="11.7109375" style="203" customWidth="1"/>
    <col min="3590" max="3590" width="10.140625" style="203" customWidth="1"/>
    <col min="3591" max="3591" width="10.140625" style="203" bestFit="1" customWidth="1"/>
    <col min="3592" max="3592" width="14.5703125" style="203" bestFit="1" customWidth="1"/>
    <col min="3593" max="3594" width="12.85546875" style="203" bestFit="1" customWidth="1"/>
    <col min="3595" max="3595" width="11.42578125" style="203" customWidth="1"/>
    <col min="3596" max="3596" width="14.7109375" style="203" customWidth="1"/>
    <col min="3597" max="3597" width="11.85546875" style="203" bestFit="1" customWidth="1"/>
    <col min="3598" max="3599" width="9.85546875" style="203" bestFit="1" customWidth="1"/>
    <col min="3600" max="3601" width="9.140625" style="203"/>
    <col min="3602" max="3602" width="11.7109375" style="203" bestFit="1" customWidth="1"/>
    <col min="3603" max="3836" width="9.140625" style="203"/>
    <col min="3837" max="3837" width="4.28515625" style="203" customWidth="1"/>
    <col min="3838" max="3838" width="10.5703125" style="203" customWidth="1"/>
    <col min="3839" max="3839" width="12" style="203" customWidth="1"/>
    <col min="3840" max="3840" width="8.7109375" style="203" customWidth="1"/>
    <col min="3841" max="3841" width="7.28515625" style="203" customWidth="1"/>
    <col min="3842" max="3842" width="14.42578125" style="203" customWidth="1"/>
    <col min="3843" max="3843" width="7.140625" style="203" customWidth="1"/>
    <col min="3844" max="3844" width="7" style="203" customWidth="1"/>
    <col min="3845" max="3845" width="11.7109375" style="203" customWidth="1"/>
    <col min="3846" max="3846" width="10.140625" style="203" customWidth="1"/>
    <col min="3847" max="3847" width="10.140625" style="203" bestFit="1" customWidth="1"/>
    <col min="3848" max="3848" width="14.5703125" style="203" bestFit="1" customWidth="1"/>
    <col min="3849" max="3850" width="12.85546875" style="203" bestFit="1" customWidth="1"/>
    <col min="3851" max="3851" width="11.42578125" style="203" customWidth="1"/>
    <col min="3852" max="3852" width="14.7109375" style="203" customWidth="1"/>
    <col min="3853" max="3853" width="11.85546875" style="203" bestFit="1" customWidth="1"/>
    <col min="3854" max="3855" width="9.85546875" style="203" bestFit="1" customWidth="1"/>
    <col min="3856" max="3857" width="9.140625" style="203"/>
    <col min="3858" max="3858" width="11.7109375" style="203" bestFit="1" customWidth="1"/>
    <col min="3859" max="4092" width="9.140625" style="203"/>
    <col min="4093" max="4093" width="4.28515625" style="203" customWidth="1"/>
    <col min="4094" max="4094" width="10.5703125" style="203" customWidth="1"/>
    <col min="4095" max="4095" width="12" style="203" customWidth="1"/>
    <col min="4096" max="4096" width="8.7109375" style="203" customWidth="1"/>
    <col min="4097" max="4097" width="7.28515625" style="203" customWidth="1"/>
    <col min="4098" max="4098" width="14.42578125" style="203" customWidth="1"/>
    <col min="4099" max="4099" width="7.140625" style="203" customWidth="1"/>
    <col min="4100" max="4100" width="7" style="203" customWidth="1"/>
    <col min="4101" max="4101" width="11.7109375" style="203" customWidth="1"/>
    <col min="4102" max="4102" width="10.140625" style="203" customWidth="1"/>
    <col min="4103" max="4103" width="10.140625" style="203" bestFit="1" customWidth="1"/>
    <col min="4104" max="4104" width="14.5703125" style="203" bestFit="1" customWidth="1"/>
    <col min="4105" max="4106" width="12.85546875" style="203" bestFit="1" customWidth="1"/>
    <col min="4107" max="4107" width="11.42578125" style="203" customWidth="1"/>
    <col min="4108" max="4108" width="14.7109375" style="203" customWidth="1"/>
    <col min="4109" max="4109" width="11.85546875" style="203" bestFit="1" customWidth="1"/>
    <col min="4110" max="4111" width="9.85546875" style="203" bestFit="1" customWidth="1"/>
    <col min="4112" max="4113" width="9.140625" style="203"/>
    <col min="4114" max="4114" width="11.7109375" style="203" bestFit="1" customWidth="1"/>
    <col min="4115" max="4348" width="9.140625" style="203"/>
    <col min="4349" max="4349" width="4.28515625" style="203" customWidth="1"/>
    <col min="4350" max="4350" width="10.5703125" style="203" customWidth="1"/>
    <col min="4351" max="4351" width="12" style="203" customWidth="1"/>
    <col min="4352" max="4352" width="8.7109375" style="203" customWidth="1"/>
    <col min="4353" max="4353" width="7.28515625" style="203" customWidth="1"/>
    <col min="4354" max="4354" width="14.42578125" style="203" customWidth="1"/>
    <col min="4355" max="4355" width="7.140625" style="203" customWidth="1"/>
    <col min="4356" max="4356" width="7" style="203" customWidth="1"/>
    <col min="4357" max="4357" width="11.7109375" style="203" customWidth="1"/>
    <col min="4358" max="4358" width="10.140625" style="203" customWidth="1"/>
    <col min="4359" max="4359" width="10.140625" style="203" bestFit="1" customWidth="1"/>
    <col min="4360" max="4360" width="14.5703125" style="203" bestFit="1" customWidth="1"/>
    <col min="4361" max="4362" width="12.85546875" style="203" bestFit="1" customWidth="1"/>
    <col min="4363" max="4363" width="11.42578125" style="203" customWidth="1"/>
    <col min="4364" max="4364" width="14.7109375" style="203" customWidth="1"/>
    <col min="4365" max="4365" width="11.85546875" style="203" bestFit="1" customWidth="1"/>
    <col min="4366" max="4367" width="9.85546875" style="203" bestFit="1" customWidth="1"/>
    <col min="4368" max="4369" width="9.140625" style="203"/>
    <col min="4370" max="4370" width="11.7109375" style="203" bestFit="1" customWidth="1"/>
    <col min="4371" max="4604" width="9.140625" style="203"/>
    <col min="4605" max="4605" width="4.28515625" style="203" customWidth="1"/>
    <col min="4606" max="4606" width="10.5703125" style="203" customWidth="1"/>
    <col min="4607" max="4607" width="12" style="203" customWidth="1"/>
    <col min="4608" max="4608" width="8.7109375" style="203" customWidth="1"/>
    <col min="4609" max="4609" width="7.28515625" style="203" customWidth="1"/>
    <col min="4610" max="4610" width="14.42578125" style="203" customWidth="1"/>
    <col min="4611" max="4611" width="7.140625" style="203" customWidth="1"/>
    <col min="4612" max="4612" width="7" style="203" customWidth="1"/>
    <col min="4613" max="4613" width="11.7109375" style="203" customWidth="1"/>
    <col min="4614" max="4614" width="10.140625" style="203" customWidth="1"/>
    <col min="4615" max="4615" width="10.140625" style="203" bestFit="1" customWidth="1"/>
    <col min="4616" max="4616" width="14.5703125" style="203" bestFit="1" customWidth="1"/>
    <col min="4617" max="4618" width="12.85546875" style="203" bestFit="1" customWidth="1"/>
    <col min="4619" max="4619" width="11.42578125" style="203" customWidth="1"/>
    <col min="4620" max="4620" width="14.7109375" style="203" customWidth="1"/>
    <col min="4621" max="4621" width="11.85546875" style="203" bestFit="1" customWidth="1"/>
    <col min="4622" max="4623" width="9.85546875" style="203" bestFit="1" customWidth="1"/>
    <col min="4624" max="4625" width="9.140625" style="203"/>
    <col min="4626" max="4626" width="11.7109375" style="203" bestFit="1" customWidth="1"/>
    <col min="4627" max="4860" width="9.140625" style="203"/>
    <col min="4861" max="4861" width="4.28515625" style="203" customWidth="1"/>
    <col min="4862" max="4862" width="10.5703125" style="203" customWidth="1"/>
    <col min="4863" max="4863" width="12" style="203" customWidth="1"/>
    <col min="4864" max="4864" width="8.7109375" style="203" customWidth="1"/>
    <col min="4865" max="4865" width="7.28515625" style="203" customWidth="1"/>
    <col min="4866" max="4866" width="14.42578125" style="203" customWidth="1"/>
    <col min="4867" max="4867" width="7.140625" style="203" customWidth="1"/>
    <col min="4868" max="4868" width="7" style="203" customWidth="1"/>
    <col min="4869" max="4869" width="11.7109375" style="203" customWidth="1"/>
    <col min="4870" max="4870" width="10.140625" style="203" customWidth="1"/>
    <col min="4871" max="4871" width="10.140625" style="203" bestFit="1" customWidth="1"/>
    <col min="4872" max="4872" width="14.5703125" style="203" bestFit="1" customWidth="1"/>
    <col min="4873" max="4874" width="12.85546875" style="203" bestFit="1" customWidth="1"/>
    <col min="4875" max="4875" width="11.42578125" style="203" customWidth="1"/>
    <col min="4876" max="4876" width="14.7109375" style="203" customWidth="1"/>
    <col min="4877" max="4877" width="11.85546875" style="203" bestFit="1" customWidth="1"/>
    <col min="4878" max="4879" width="9.85546875" style="203" bestFit="1" customWidth="1"/>
    <col min="4880" max="4881" width="9.140625" style="203"/>
    <col min="4882" max="4882" width="11.7109375" style="203" bestFit="1" customWidth="1"/>
    <col min="4883" max="5116" width="9.140625" style="203"/>
    <col min="5117" max="5117" width="4.28515625" style="203" customWidth="1"/>
    <col min="5118" max="5118" width="10.5703125" style="203" customWidth="1"/>
    <col min="5119" max="5119" width="12" style="203" customWidth="1"/>
    <col min="5120" max="5120" width="8.7109375" style="203" customWidth="1"/>
    <col min="5121" max="5121" width="7.28515625" style="203" customWidth="1"/>
    <col min="5122" max="5122" width="14.42578125" style="203" customWidth="1"/>
    <col min="5123" max="5123" width="7.140625" style="203" customWidth="1"/>
    <col min="5124" max="5124" width="7" style="203" customWidth="1"/>
    <col min="5125" max="5125" width="11.7109375" style="203" customWidth="1"/>
    <col min="5126" max="5126" width="10.140625" style="203" customWidth="1"/>
    <col min="5127" max="5127" width="10.140625" style="203" bestFit="1" customWidth="1"/>
    <col min="5128" max="5128" width="14.5703125" style="203" bestFit="1" customWidth="1"/>
    <col min="5129" max="5130" width="12.85546875" style="203" bestFit="1" customWidth="1"/>
    <col min="5131" max="5131" width="11.42578125" style="203" customWidth="1"/>
    <col min="5132" max="5132" width="14.7109375" style="203" customWidth="1"/>
    <col min="5133" max="5133" width="11.85546875" style="203" bestFit="1" customWidth="1"/>
    <col min="5134" max="5135" width="9.85546875" style="203" bestFit="1" customWidth="1"/>
    <col min="5136" max="5137" width="9.140625" style="203"/>
    <col min="5138" max="5138" width="11.7109375" style="203" bestFit="1" customWidth="1"/>
    <col min="5139" max="5372" width="9.140625" style="203"/>
    <col min="5373" max="5373" width="4.28515625" style="203" customWidth="1"/>
    <col min="5374" max="5374" width="10.5703125" style="203" customWidth="1"/>
    <col min="5375" max="5375" width="12" style="203" customWidth="1"/>
    <col min="5376" max="5376" width="8.7109375" style="203" customWidth="1"/>
    <col min="5377" max="5377" width="7.28515625" style="203" customWidth="1"/>
    <col min="5378" max="5378" width="14.42578125" style="203" customWidth="1"/>
    <col min="5379" max="5379" width="7.140625" style="203" customWidth="1"/>
    <col min="5380" max="5380" width="7" style="203" customWidth="1"/>
    <col min="5381" max="5381" width="11.7109375" style="203" customWidth="1"/>
    <col min="5382" max="5382" width="10.140625" style="203" customWidth="1"/>
    <col min="5383" max="5383" width="10.140625" style="203" bestFit="1" customWidth="1"/>
    <col min="5384" max="5384" width="14.5703125" style="203" bestFit="1" customWidth="1"/>
    <col min="5385" max="5386" width="12.85546875" style="203" bestFit="1" customWidth="1"/>
    <col min="5387" max="5387" width="11.42578125" style="203" customWidth="1"/>
    <col min="5388" max="5388" width="14.7109375" style="203" customWidth="1"/>
    <col min="5389" max="5389" width="11.85546875" style="203" bestFit="1" customWidth="1"/>
    <col min="5390" max="5391" width="9.85546875" style="203" bestFit="1" customWidth="1"/>
    <col min="5392" max="5393" width="9.140625" style="203"/>
    <col min="5394" max="5394" width="11.7109375" style="203" bestFit="1" customWidth="1"/>
    <col min="5395" max="5628" width="9.140625" style="203"/>
    <col min="5629" max="5629" width="4.28515625" style="203" customWidth="1"/>
    <col min="5630" max="5630" width="10.5703125" style="203" customWidth="1"/>
    <col min="5631" max="5631" width="12" style="203" customWidth="1"/>
    <col min="5632" max="5632" width="8.7109375" style="203" customWidth="1"/>
    <col min="5633" max="5633" width="7.28515625" style="203" customWidth="1"/>
    <col min="5634" max="5634" width="14.42578125" style="203" customWidth="1"/>
    <col min="5635" max="5635" width="7.140625" style="203" customWidth="1"/>
    <col min="5636" max="5636" width="7" style="203" customWidth="1"/>
    <col min="5637" max="5637" width="11.7109375" style="203" customWidth="1"/>
    <col min="5638" max="5638" width="10.140625" style="203" customWidth="1"/>
    <col min="5639" max="5639" width="10.140625" style="203" bestFit="1" customWidth="1"/>
    <col min="5640" max="5640" width="14.5703125" style="203" bestFit="1" customWidth="1"/>
    <col min="5641" max="5642" width="12.85546875" style="203" bestFit="1" customWidth="1"/>
    <col min="5643" max="5643" width="11.42578125" style="203" customWidth="1"/>
    <col min="5644" max="5644" width="14.7109375" style="203" customWidth="1"/>
    <col min="5645" max="5645" width="11.85546875" style="203" bestFit="1" customWidth="1"/>
    <col min="5646" max="5647" width="9.85546875" style="203" bestFit="1" customWidth="1"/>
    <col min="5648" max="5649" width="9.140625" style="203"/>
    <col min="5650" max="5650" width="11.7109375" style="203" bestFit="1" customWidth="1"/>
    <col min="5651" max="5884" width="9.140625" style="203"/>
    <col min="5885" max="5885" width="4.28515625" style="203" customWidth="1"/>
    <col min="5886" max="5886" width="10.5703125" style="203" customWidth="1"/>
    <col min="5887" max="5887" width="12" style="203" customWidth="1"/>
    <col min="5888" max="5888" width="8.7109375" style="203" customWidth="1"/>
    <col min="5889" max="5889" width="7.28515625" style="203" customWidth="1"/>
    <col min="5890" max="5890" width="14.42578125" style="203" customWidth="1"/>
    <col min="5891" max="5891" width="7.140625" style="203" customWidth="1"/>
    <col min="5892" max="5892" width="7" style="203" customWidth="1"/>
    <col min="5893" max="5893" width="11.7109375" style="203" customWidth="1"/>
    <col min="5894" max="5894" width="10.140625" style="203" customWidth="1"/>
    <col min="5895" max="5895" width="10.140625" style="203" bestFit="1" customWidth="1"/>
    <col min="5896" max="5896" width="14.5703125" style="203" bestFit="1" customWidth="1"/>
    <col min="5897" max="5898" width="12.85546875" style="203" bestFit="1" customWidth="1"/>
    <col min="5899" max="5899" width="11.42578125" style="203" customWidth="1"/>
    <col min="5900" max="5900" width="14.7109375" style="203" customWidth="1"/>
    <col min="5901" max="5901" width="11.85546875" style="203" bestFit="1" customWidth="1"/>
    <col min="5902" max="5903" width="9.85546875" style="203" bestFit="1" customWidth="1"/>
    <col min="5904" max="5905" width="9.140625" style="203"/>
    <col min="5906" max="5906" width="11.7109375" style="203" bestFit="1" customWidth="1"/>
    <col min="5907" max="6140" width="9.140625" style="203"/>
    <col min="6141" max="6141" width="4.28515625" style="203" customWidth="1"/>
    <col min="6142" max="6142" width="10.5703125" style="203" customWidth="1"/>
    <col min="6143" max="6143" width="12" style="203" customWidth="1"/>
    <col min="6144" max="6144" width="8.7109375" style="203" customWidth="1"/>
    <col min="6145" max="6145" width="7.28515625" style="203" customWidth="1"/>
    <col min="6146" max="6146" width="14.42578125" style="203" customWidth="1"/>
    <col min="6147" max="6147" width="7.140625" style="203" customWidth="1"/>
    <col min="6148" max="6148" width="7" style="203" customWidth="1"/>
    <col min="6149" max="6149" width="11.7109375" style="203" customWidth="1"/>
    <col min="6150" max="6150" width="10.140625" style="203" customWidth="1"/>
    <col min="6151" max="6151" width="10.140625" style="203" bestFit="1" customWidth="1"/>
    <col min="6152" max="6152" width="14.5703125" style="203" bestFit="1" customWidth="1"/>
    <col min="6153" max="6154" width="12.85546875" style="203" bestFit="1" customWidth="1"/>
    <col min="6155" max="6155" width="11.42578125" style="203" customWidth="1"/>
    <col min="6156" max="6156" width="14.7109375" style="203" customWidth="1"/>
    <col min="6157" max="6157" width="11.85546875" style="203" bestFit="1" customWidth="1"/>
    <col min="6158" max="6159" width="9.85546875" style="203" bestFit="1" customWidth="1"/>
    <col min="6160" max="6161" width="9.140625" style="203"/>
    <col min="6162" max="6162" width="11.7109375" style="203" bestFit="1" customWidth="1"/>
    <col min="6163" max="6396" width="9.140625" style="203"/>
    <col min="6397" max="6397" width="4.28515625" style="203" customWidth="1"/>
    <col min="6398" max="6398" width="10.5703125" style="203" customWidth="1"/>
    <col min="6399" max="6399" width="12" style="203" customWidth="1"/>
    <col min="6400" max="6400" width="8.7109375" style="203" customWidth="1"/>
    <col min="6401" max="6401" width="7.28515625" style="203" customWidth="1"/>
    <col min="6402" max="6402" width="14.42578125" style="203" customWidth="1"/>
    <col min="6403" max="6403" width="7.140625" style="203" customWidth="1"/>
    <col min="6404" max="6404" width="7" style="203" customWidth="1"/>
    <col min="6405" max="6405" width="11.7109375" style="203" customWidth="1"/>
    <col min="6406" max="6406" width="10.140625" style="203" customWidth="1"/>
    <col min="6407" max="6407" width="10.140625" style="203" bestFit="1" customWidth="1"/>
    <col min="6408" max="6408" width="14.5703125" style="203" bestFit="1" customWidth="1"/>
    <col min="6409" max="6410" width="12.85546875" style="203" bestFit="1" customWidth="1"/>
    <col min="6411" max="6411" width="11.42578125" style="203" customWidth="1"/>
    <col min="6412" max="6412" width="14.7109375" style="203" customWidth="1"/>
    <col min="6413" max="6413" width="11.85546875" style="203" bestFit="1" customWidth="1"/>
    <col min="6414" max="6415" width="9.85546875" style="203" bestFit="1" customWidth="1"/>
    <col min="6416" max="6417" width="9.140625" style="203"/>
    <col min="6418" max="6418" width="11.7109375" style="203" bestFit="1" customWidth="1"/>
    <col min="6419" max="6652" width="9.140625" style="203"/>
    <col min="6653" max="6653" width="4.28515625" style="203" customWidth="1"/>
    <col min="6654" max="6654" width="10.5703125" style="203" customWidth="1"/>
    <col min="6655" max="6655" width="12" style="203" customWidth="1"/>
    <col min="6656" max="6656" width="8.7109375" style="203" customWidth="1"/>
    <col min="6657" max="6657" width="7.28515625" style="203" customWidth="1"/>
    <col min="6658" max="6658" width="14.42578125" style="203" customWidth="1"/>
    <col min="6659" max="6659" width="7.140625" style="203" customWidth="1"/>
    <col min="6660" max="6660" width="7" style="203" customWidth="1"/>
    <col min="6661" max="6661" width="11.7109375" style="203" customWidth="1"/>
    <col min="6662" max="6662" width="10.140625" style="203" customWidth="1"/>
    <col min="6663" max="6663" width="10.140625" style="203" bestFit="1" customWidth="1"/>
    <col min="6664" max="6664" width="14.5703125" style="203" bestFit="1" customWidth="1"/>
    <col min="6665" max="6666" width="12.85546875" style="203" bestFit="1" customWidth="1"/>
    <col min="6667" max="6667" width="11.42578125" style="203" customWidth="1"/>
    <col min="6668" max="6668" width="14.7109375" style="203" customWidth="1"/>
    <col min="6669" max="6669" width="11.85546875" style="203" bestFit="1" customWidth="1"/>
    <col min="6670" max="6671" width="9.85546875" style="203" bestFit="1" customWidth="1"/>
    <col min="6672" max="6673" width="9.140625" style="203"/>
    <col min="6674" max="6674" width="11.7109375" style="203" bestFit="1" customWidth="1"/>
    <col min="6675" max="6908" width="9.140625" style="203"/>
    <col min="6909" max="6909" width="4.28515625" style="203" customWidth="1"/>
    <col min="6910" max="6910" width="10.5703125" style="203" customWidth="1"/>
    <col min="6911" max="6911" width="12" style="203" customWidth="1"/>
    <col min="6912" max="6912" width="8.7109375" style="203" customWidth="1"/>
    <col min="6913" max="6913" width="7.28515625" style="203" customWidth="1"/>
    <col min="6914" max="6914" width="14.42578125" style="203" customWidth="1"/>
    <col min="6915" max="6915" width="7.140625" style="203" customWidth="1"/>
    <col min="6916" max="6916" width="7" style="203" customWidth="1"/>
    <col min="6917" max="6917" width="11.7109375" style="203" customWidth="1"/>
    <col min="6918" max="6918" width="10.140625" style="203" customWidth="1"/>
    <col min="6919" max="6919" width="10.140625" style="203" bestFit="1" customWidth="1"/>
    <col min="6920" max="6920" width="14.5703125" style="203" bestFit="1" customWidth="1"/>
    <col min="6921" max="6922" width="12.85546875" style="203" bestFit="1" customWidth="1"/>
    <col min="6923" max="6923" width="11.42578125" style="203" customWidth="1"/>
    <col min="6924" max="6924" width="14.7109375" style="203" customWidth="1"/>
    <col min="6925" max="6925" width="11.85546875" style="203" bestFit="1" customWidth="1"/>
    <col min="6926" max="6927" width="9.85546875" style="203" bestFit="1" customWidth="1"/>
    <col min="6928" max="6929" width="9.140625" style="203"/>
    <col min="6930" max="6930" width="11.7109375" style="203" bestFit="1" customWidth="1"/>
    <col min="6931" max="7164" width="9.140625" style="203"/>
    <col min="7165" max="7165" width="4.28515625" style="203" customWidth="1"/>
    <col min="7166" max="7166" width="10.5703125" style="203" customWidth="1"/>
    <col min="7167" max="7167" width="12" style="203" customWidth="1"/>
    <col min="7168" max="7168" width="8.7109375" style="203" customWidth="1"/>
    <col min="7169" max="7169" width="7.28515625" style="203" customWidth="1"/>
    <col min="7170" max="7170" width="14.42578125" style="203" customWidth="1"/>
    <col min="7171" max="7171" width="7.140625" style="203" customWidth="1"/>
    <col min="7172" max="7172" width="7" style="203" customWidth="1"/>
    <col min="7173" max="7173" width="11.7109375" style="203" customWidth="1"/>
    <col min="7174" max="7174" width="10.140625" style="203" customWidth="1"/>
    <col min="7175" max="7175" width="10.140625" style="203" bestFit="1" customWidth="1"/>
    <col min="7176" max="7176" width="14.5703125" style="203" bestFit="1" customWidth="1"/>
    <col min="7177" max="7178" width="12.85546875" style="203" bestFit="1" customWidth="1"/>
    <col min="7179" max="7179" width="11.42578125" style="203" customWidth="1"/>
    <col min="7180" max="7180" width="14.7109375" style="203" customWidth="1"/>
    <col min="7181" max="7181" width="11.85546875" style="203" bestFit="1" customWidth="1"/>
    <col min="7182" max="7183" width="9.85546875" style="203" bestFit="1" customWidth="1"/>
    <col min="7184" max="7185" width="9.140625" style="203"/>
    <col min="7186" max="7186" width="11.7109375" style="203" bestFit="1" customWidth="1"/>
    <col min="7187" max="7420" width="9.140625" style="203"/>
    <col min="7421" max="7421" width="4.28515625" style="203" customWidth="1"/>
    <col min="7422" max="7422" width="10.5703125" style="203" customWidth="1"/>
    <col min="7423" max="7423" width="12" style="203" customWidth="1"/>
    <col min="7424" max="7424" width="8.7109375" style="203" customWidth="1"/>
    <col min="7425" max="7425" width="7.28515625" style="203" customWidth="1"/>
    <col min="7426" max="7426" width="14.42578125" style="203" customWidth="1"/>
    <col min="7427" max="7427" width="7.140625" style="203" customWidth="1"/>
    <col min="7428" max="7428" width="7" style="203" customWidth="1"/>
    <col min="7429" max="7429" width="11.7109375" style="203" customWidth="1"/>
    <col min="7430" max="7430" width="10.140625" style="203" customWidth="1"/>
    <col min="7431" max="7431" width="10.140625" style="203" bestFit="1" customWidth="1"/>
    <col min="7432" max="7432" width="14.5703125" style="203" bestFit="1" customWidth="1"/>
    <col min="7433" max="7434" width="12.85546875" style="203" bestFit="1" customWidth="1"/>
    <col min="7435" max="7435" width="11.42578125" style="203" customWidth="1"/>
    <col min="7436" max="7436" width="14.7109375" style="203" customWidth="1"/>
    <col min="7437" max="7437" width="11.85546875" style="203" bestFit="1" customWidth="1"/>
    <col min="7438" max="7439" width="9.85546875" style="203" bestFit="1" customWidth="1"/>
    <col min="7440" max="7441" width="9.140625" style="203"/>
    <col min="7442" max="7442" width="11.7109375" style="203" bestFit="1" customWidth="1"/>
    <col min="7443" max="7676" width="9.140625" style="203"/>
    <col min="7677" max="7677" width="4.28515625" style="203" customWidth="1"/>
    <col min="7678" max="7678" width="10.5703125" style="203" customWidth="1"/>
    <col min="7679" max="7679" width="12" style="203" customWidth="1"/>
    <col min="7680" max="7680" width="8.7109375" style="203" customWidth="1"/>
    <col min="7681" max="7681" width="7.28515625" style="203" customWidth="1"/>
    <col min="7682" max="7682" width="14.42578125" style="203" customWidth="1"/>
    <col min="7683" max="7683" width="7.140625" style="203" customWidth="1"/>
    <col min="7684" max="7684" width="7" style="203" customWidth="1"/>
    <col min="7685" max="7685" width="11.7109375" style="203" customWidth="1"/>
    <col min="7686" max="7686" width="10.140625" style="203" customWidth="1"/>
    <col min="7687" max="7687" width="10.140625" style="203" bestFit="1" customWidth="1"/>
    <col min="7688" max="7688" width="14.5703125" style="203" bestFit="1" customWidth="1"/>
    <col min="7689" max="7690" width="12.85546875" style="203" bestFit="1" customWidth="1"/>
    <col min="7691" max="7691" width="11.42578125" style="203" customWidth="1"/>
    <col min="7692" max="7692" width="14.7109375" style="203" customWidth="1"/>
    <col min="7693" max="7693" width="11.85546875" style="203" bestFit="1" customWidth="1"/>
    <col min="7694" max="7695" width="9.85546875" style="203" bestFit="1" customWidth="1"/>
    <col min="7696" max="7697" width="9.140625" style="203"/>
    <col min="7698" max="7698" width="11.7109375" style="203" bestFit="1" customWidth="1"/>
    <col min="7699" max="7932" width="9.140625" style="203"/>
    <col min="7933" max="7933" width="4.28515625" style="203" customWidth="1"/>
    <col min="7934" max="7934" width="10.5703125" style="203" customWidth="1"/>
    <col min="7935" max="7935" width="12" style="203" customWidth="1"/>
    <col min="7936" max="7936" width="8.7109375" style="203" customWidth="1"/>
    <col min="7937" max="7937" width="7.28515625" style="203" customWidth="1"/>
    <col min="7938" max="7938" width="14.42578125" style="203" customWidth="1"/>
    <col min="7939" max="7939" width="7.140625" style="203" customWidth="1"/>
    <col min="7940" max="7940" width="7" style="203" customWidth="1"/>
    <col min="7941" max="7941" width="11.7109375" style="203" customWidth="1"/>
    <col min="7942" max="7942" width="10.140625" style="203" customWidth="1"/>
    <col min="7943" max="7943" width="10.140625" style="203" bestFit="1" customWidth="1"/>
    <col min="7944" max="7944" width="14.5703125" style="203" bestFit="1" customWidth="1"/>
    <col min="7945" max="7946" width="12.85546875" style="203" bestFit="1" customWidth="1"/>
    <col min="7947" max="7947" width="11.42578125" style="203" customWidth="1"/>
    <col min="7948" max="7948" width="14.7109375" style="203" customWidth="1"/>
    <col min="7949" max="7949" width="11.85546875" style="203" bestFit="1" customWidth="1"/>
    <col min="7950" max="7951" width="9.85546875" style="203" bestFit="1" customWidth="1"/>
    <col min="7952" max="7953" width="9.140625" style="203"/>
    <col min="7954" max="7954" width="11.7109375" style="203" bestFit="1" customWidth="1"/>
    <col min="7955" max="8188" width="9.140625" style="203"/>
    <col min="8189" max="8189" width="4.28515625" style="203" customWidth="1"/>
    <col min="8190" max="8190" width="10.5703125" style="203" customWidth="1"/>
    <col min="8191" max="8191" width="12" style="203" customWidth="1"/>
    <col min="8192" max="8192" width="8.7109375" style="203" customWidth="1"/>
    <col min="8193" max="8193" width="7.28515625" style="203" customWidth="1"/>
    <col min="8194" max="8194" width="14.42578125" style="203" customWidth="1"/>
    <col min="8195" max="8195" width="7.140625" style="203" customWidth="1"/>
    <col min="8196" max="8196" width="7" style="203" customWidth="1"/>
    <col min="8197" max="8197" width="11.7109375" style="203" customWidth="1"/>
    <col min="8198" max="8198" width="10.140625" style="203" customWidth="1"/>
    <col min="8199" max="8199" width="10.140625" style="203" bestFit="1" customWidth="1"/>
    <col min="8200" max="8200" width="14.5703125" style="203" bestFit="1" customWidth="1"/>
    <col min="8201" max="8202" width="12.85546875" style="203" bestFit="1" customWidth="1"/>
    <col min="8203" max="8203" width="11.42578125" style="203" customWidth="1"/>
    <col min="8204" max="8204" width="14.7109375" style="203" customWidth="1"/>
    <col min="8205" max="8205" width="11.85546875" style="203" bestFit="1" customWidth="1"/>
    <col min="8206" max="8207" width="9.85546875" style="203" bestFit="1" customWidth="1"/>
    <col min="8208" max="8209" width="9.140625" style="203"/>
    <col min="8210" max="8210" width="11.7109375" style="203" bestFit="1" customWidth="1"/>
    <col min="8211" max="8444" width="9.140625" style="203"/>
    <col min="8445" max="8445" width="4.28515625" style="203" customWidth="1"/>
    <col min="8446" max="8446" width="10.5703125" style="203" customWidth="1"/>
    <col min="8447" max="8447" width="12" style="203" customWidth="1"/>
    <col min="8448" max="8448" width="8.7109375" style="203" customWidth="1"/>
    <col min="8449" max="8449" width="7.28515625" style="203" customWidth="1"/>
    <col min="8450" max="8450" width="14.42578125" style="203" customWidth="1"/>
    <col min="8451" max="8451" width="7.140625" style="203" customWidth="1"/>
    <col min="8452" max="8452" width="7" style="203" customWidth="1"/>
    <col min="8453" max="8453" width="11.7109375" style="203" customWidth="1"/>
    <col min="8454" max="8454" width="10.140625" style="203" customWidth="1"/>
    <col min="8455" max="8455" width="10.140625" style="203" bestFit="1" customWidth="1"/>
    <col min="8456" max="8456" width="14.5703125" style="203" bestFit="1" customWidth="1"/>
    <col min="8457" max="8458" width="12.85546875" style="203" bestFit="1" customWidth="1"/>
    <col min="8459" max="8459" width="11.42578125" style="203" customWidth="1"/>
    <col min="8460" max="8460" width="14.7109375" style="203" customWidth="1"/>
    <col min="8461" max="8461" width="11.85546875" style="203" bestFit="1" customWidth="1"/>
    <col min="8462" max="8463" width="9.85546875" style="203" bestFit="1" customWidth="1"/>
    <col min="8464" max="8465" width="9.140625" style="203"/>
    <col min="8466" max="8466" width="11.7109375" style="203" bestFit="1" customWidth="1"/>
    <col min="8467" max="8700" width="9.140625" style="203"/>
    <col min="8701" max="8701" width="4.28515625" style="203" customWidth="1"/>
    <col min="8702" max="8702" width="10.5703125" style="203" customWidth="1"/>
    <col min="8703" max="8703" width="12" style="203" customWidth="1"/>
    <col min="8704" max="8704" width="8.7109375" style="203" customWidth="1"/>
    <col min="8705" max="8705" width="7.28515625" style="203" customWidth="1"/>
    <col min="8706" max="8706" width="14.42578125" style="203" customWidth="1"/>
    <col min="8707" max="8707" width="7.140625" style="203" customWidth="1"/>
    <col min="8708" max="8708" width="7" style="203" customWidth="1"/>
    <col min="8709" max="8709" width="11.7109375" style="203" customWidth="1"/>
    <col min="8710" max="8710" width="10.140625" style="203" customWidth="1"/>
    <col min="8711" max="8711" width="10.140625" style="203" bestFit="1" customWidth="1"/>
    <col min="8712" max="8712" width="14.5703125" style="203" bestFit="1" customWidth="1"/>
    <col min="8713" max="8714" width="12.85546875" style="203" bestFit="1" customWidth="1"/>
    <col min="8715" max="8715" width="11.42578125" style="203" customWidth="1"/>
    <col min="8716" max="8716" width="14.7109375" style="203" customWidth="1"/>
    <col min="8717" max="8717" width="11.85546875" style="203" bestFit="1" customWidth="1"/>
    <col min="8718" max="8719" width="9.85546875" style="203" bestFit="1" customWidth="1"/>
    <col min="8720" max="8721" width="9.140625" style="203"/>
    <col min="8722" max="8722" width="11.7109375" style="203" bestFit="1" customWidth="1"/>
    <col min="8723" max="8956" width="9.140625" style="203"/>
    <col min="8957" max="8957" width="4.28515625" style="203" customWidth="1"/>
    <col min="8958" max="8958" width="10.5703125" style="203" customWidth="1"/>
    <col min="8959" max="8959" width="12" style="203" customWidth="1"/>
    <col min="8960" max="8960" width="8.7109375" style="203" customWidth="1"/>
    <col min="8961" max="8961" width="7.28515625" style="203" customWidth="1"/>
    <col min="8962" max="8962" width="14.42578125" style="203" customWidth="1"/>
    <col min="8963" max="8963" width="7.140625" style="203" customWidth="1"/>
    <col min="8964" max="8964" width="7" style="203" customWidth="1"/>
    <col min="8965" max="8965" width="11.7109375" style="203" customWidth="1"/>
    <col min="8966" max="8966" width="10.140625" style="203" customWidth="1"/>
    <col min="8967" max="8967" width="10.140625" style="203" bestFit="1" customWidth="1"/>
    <col min="8968" max="8968" width="14.5703125" style="203" bestFit="1" customWidth="1"/>
    <col min="8969" max="8970" width="12.85546875" style="203" bestFit="1" customWidth="1"/>
    <col min="8971" max="8971" width="11.42578125" style="203" customWidth="1"/>
    <col min="8972" max="8972" width="14.7109375" style="203" customWidth="1"/>
    <col min="8973" max="8973" width="11.85546875" style="203" bestFit="1" customWidth="1"/>
    <col min="8974" max="8975" width="9.85546875" style="203" bestFit="1" customWidth="1"/>
    <col min="8976" max="8977" width="9.140625" style="203"/>
    <col min="8978" max="8978" width="11.7109375" style="203" bestFit="1" customWidth="1"/>
    <col min="8979" max="9212" width="9.140625" style="203"/>
    <col min="9213" max="9213" width="4.28515625" style="203" customWidth="1"/>
    <col min="9214" max="9214" width="10.5703125" style="203" customWidth="1"/>
    <col min="9215" max="9215" width="12" style="203" customWidth="1"/>
    <col min="9216" max="9216" width="8.7109375" style="203" customWidth="1"/>
    <col min="9217" max="9217" width="7.28515625" style="203" customWidth="1"/>
    <col min="9218" max="9218" width="14.42578125" style="203" customWidth="1"/>
    <col min="9219" max="9219" width="7.140625" style="203" customWidth="1"/>
    <col min="9220" max="9220" width="7" style="203" customWidth="1"/>
    <col min="9221" max="9221" width="11.7109375" style="203" customWidth="1"/>
    <col min="9222" max="9222" width="10.140625" style="203" customWidth="1"/>
    <col min="9223" max="9223" width="10.140625" style="203" bestFit="1" customWidth="1"/>
    <col min="9224" max="9224" width="14.5703125" style="203" bestFit="1" customWidth="1"/>
    <col min="9225" max="9226" width="12.85546875" style="203" bestFit="1" customWidth="1"/>
    <col min="9227" max="9227" width="11.42578125" style="203" customWidth="1"/>
    <col min="9228" max="9228" width="14.7109375" style="203" customWidth="1"/>
    <col min="9229" max="9229" width="11.85546875" style="203" bestFit="1" customWidth="1"/>
    <col min="9230" max="9231" width="9.85546875" style="203" bestFit="1" customWidth="1"/>
    <col min="9232" max="9233" width="9.140625" style="203"/>
    <col min="9234" max="9234" width="11.7109375" style="203" bestFit="1" customWidth="1"/>
    <col min="9235" max="9468" width="9.140625" style="203"/>
    <col min="9469" max="9469" width="4.28515625" style="203" customWidth="1"/>
    <col min="9470" max="9470" width="10.5703125" style="203" customWidth="1"/>
    <col min="9471" max="9471" width="12" style="203" customWidth="1"/>
    <col min="9472" max="9472" width="8.7109375" style="203" customWidth="1"/>
    <col min="9473" max="9473" width="7.28515625" style="203" customWidth="1"/>
    <col min="9474" max="9474" width="14.42578125" style="203" customWidth="1"/>
    <col min="9475" max="9475" width="7.140625" style="203" customWidth="1"/>
    <col min="9476" max="9476" width="7" style="203" customWidth="1"/>
    <col min="9477" max="9477" width="11.7109375" style="203" customWidth="1"/>
    <col min="9478" max="9478" width="10.140625" style="203" customWidth="1"/>
    <col min="9479" max="9479" width="10.140625" style="203" bestFit="1" customWidth="1"/>
    <col min="9480" max="9480" width="14.5703125" style="203" bestFit="1" customWidth="1"/>
    <col min="9481" max="9482" width="12.85546875" style="203" bestFit="1" customWidth="1"/>
    <col min="9483" max="9483" width="11.42578125" style="203" customWidth="1"/>
    <col min="9484" max="9484" width="14.7109375" style="203" customWidth="1"/>
    <col min="9485" max="9485" width="11.85546875" style="203" bestFit="1" customWidth="1"/>
    <col min="9486" max="9487" width="9.85546875" style="203" bestFit="1" customWidth="1"/>
    <col min="9488" max="9489" width="9.140625" style="203"/>
    <col min="9490" max="9490" width="11.7109375" style="203" bestFit="1" customWidth="1"/>
    <col min="9491" max="9724" width="9.140625" style="203"/>
    <col min="9725" max="9725" width="4.28515625" style="203" customWidth="1"/>
    <col min="9726" max="9726" width="10.5703125" style="203" customWidth="1"/>
    <col min="9727" max="9727" width="12" style="203" customWidth="1"/>
    <col min="9728" max="9728" width="8.7109375" style="203" customWidth="1"/>
    <col min="9729" max="9729" width="7.28515625" style="203" customWidth="1"/>
    <col min="9730" max="9730" width="14.42578125" style="203" customWidth="1"/>
    <col min="9731" max="9731" width="7.140625" style="203" customWidth="1"/>
    <col min="9732" max="9732" width="7" style="203" customWidth="1"/>
    <col min="9733" max="9733" width="11.7109375" style="203" customWidth="1"/>
    <col min="9734" max="9734" width="10.140625" style="203" customWidth="1"/>
    <col min="9735" max="9735" width="10.140625" style="203" bestFit="1" customWidth="1"/>
    <col min="9736" max="9736" width="14.5703125" style="203" bestFit="1" customWidth="1"/>
    <col min="9737" max="9738" width="12.85546875" style="203" bestFit="1" customWidth="1"/>
    <col min="9739" max="9739" width="11.42578125" style="203" customWidth="1"/>
    <col min="9740" max="9740" width="14.7109375" style="203" customWidth="1"/>
    <col min="9741" max="9741" width="11.85546875" style="203" bestFit="1" customWidth="1"/>
    <col min="9742" max="9743" width="9.85546875" style="203" bestFit="1" customWidth="1"/>
    <col min="9744" max="9745" width="9.140625" style="203"/>
    <col min="9746" max="9746" width="11.7109375" style="203" bestFit="1" customWidth="1"/>
    <col min="9747" max="9980" width="9.140625" style="203"/>
    <col min="9981" max="9981" width="4.28515625" style="203" customWidth="1"/>
    <col min="9982" max="9982" width="10.5703125" style="203" customWidth="1"/>
    <col min="9983" max="9983" width="12" style="203" customWidth="1"/>
    <col min="9984" max="9984" width="8.7109375" style="203" customWidth="1"/>
    <col min="9985" max="9985" width="7.28515625" style="203" customWidth="1"/>
    <col min="9986" max="9986" width="14.42578125" style="203" customWidth="1"/>
    <col min="9987" max="9987" width="7.140625" style="203" customWidth="1"/>
    <col min="9988" max="9988" width="7" style="203" customWidth="1"/>
    <col min="9989" max="9989" width="11.7109375" style="203" customWidth="1"/>
    <col min="9990" max="9990" width="10.140625" style="203" customWidth="1"/>
    <col min="9991" max="9991" width="10.140625" style="203" bestFit="1" customWidth="1"/>
    <col min="9992" max="9992" width="14.5703125" style="203" bestFit="1" customWidth="1"/>
    <col min="9993" max="9994" width="12.85546875" style="203" bestFit="1" customWidth="1"/>
    <col min="9995" max="9995" width="11.42578125" style="203" customWidth="1"/>
    <col min="9996" max="9996" width="14.7109375" style="203" customWidth="1"/>
    <col min="9997" max="9997" width="11.85546875" style="203" bestFit="1" customWidth="1"/>
    <col min="9998" max="9999" width="9.85546875" style="203" bestFit="1" customWidth="1"/>
    <col min="10000" max="10001" width="9.140625" style="203"/>
    <col min="10002" max="10002" width="11.7109375" style="203" bestFit="1" customWidth="1"/>
    <col min="10003" max="10236" width="9.140625" style="203"/>
    <col min="10237" max="10237" width="4.28515625" style="203" customWidth="1"/>
    <col min="10238" max="10238" width="10.5703125" style="203" customWidth="1"/>
    <col min="10239" max="10239" width="12" style="203" customWidth="1"/>
    <col min="10240" max="10240" width="8.7109375" style="203" customWidth="1"/>
    <col min="10241" max="10241" width="7.28515625" style="203" customWidth="1"/>
    <col min="10242" max="10242" width="14.42578125" style="203" customWidth="1"/>
    <col min="10243" max="10243" width="7.140625" style="203" customWidth="1"/>
    <col min="10244" max="10244" width="7" style="203" customWidth="1"/>
    <col min="10245" max="10245" width="11.7109375" style="203" customWidth="1"/>
    <col min="10246" max="10246" width="10.140625" style="203" customWidth="1"/>
    <col min="10247" max="10247" width="10.140625" style="203" bestFit="1" customWidth="1"/>
    <col min="10248" max="10248" width="14.5703125" style="203" bestFit="1" customWidth="1"/>
    <col min="10249" max="10250" width="12.85546875" style="203" bestFit="1" customWidth="1"/>
    <col min="10251" max="10251" width="11.42578125" style="203" customWidth="1"/>
    <col min="10252" max="10252" width="14.7109375" style="203" customWidth="1"/>
    <col min="10253" max="10253" width="11.85546875" style="203" bestFit="1" customWidth="1"/>
    <col min="10254" max="10255" width="9.85546875" style="203" bestFit="1" customWidth="1"/>
    <col min="10256" max="10257" width="9.140625" style="203"/>
    <col min="10258" max="10258" width="11.7109375" style="203" bestFit="1" customWidth="1"/>
    <col min="10259" max="10492" width="9.140625" style="203"/>
    <col min="10493" max="10493" width="4.28515625" style="203" customWidth="1"/>
    <col min="10494" max="10494" width="10.5703125" style="203" customWidth="1"/>
    <col min="10495" max="10495" width="12" style="203" customWidth="1"/>
    <col min="10496" max="10496" width="8.7109375" style="203" customWidth="1"/>
    <col min="10497" max="10497" width="7.28515625" style="203" customWidth="1"/>
    <col min="10498" max="10498" width="14.42578125" style="203" customWidth="1"/>
    <col min="10499" max="10499" width="7.140625" style="203" customWidth="1"/>
    <col min="10500" max="10500" width="7" style="203" customWidth="1"/>
    <col min="10501" max="10501" width="11.7109375" style="203" customWidth="1"/>
    <col min="10502" max="10502" width="10.140625" style="203" customWidth="1"/>
    <col min="10503" max="10503" width="10.140625" style="203" bestFit="1" customWidth="1"/>
    <col min="10504" max="10504" width="14.5703125" style="203" bestFit="1" customWidth="1"/>
    <col min="10505" max="10506" width="12.85546875" style="203" bestFit="1" customWidth="1"/>
    <col min="10507" max="10507" width="11.42578125" style="203" customWidth="1"/>
    <col min="10508" max="10508" width="14.7109375" style="203" customWidth="1"/>
    <col min="10509" max="10509" width="11.85546875" style="203" bestFit="1" customWidth="1"/>
    <col min="10510" max="10511" width="9.85546875" style="203" bestFit="1" customWidth="1"/>
    <col min="10512" max="10513" width="9.140625" style="203"/>
    <col min="10514" max="10514" width="11.7109375" style="203" bestFit="1" customWidth="1"/>
    <col min="10515" max="10748" width="9.140625" style="203"/>
    <col min="10749" max="10749" width="4.28515625" style="203" customWidth="1"/>
    <col min="10750" max="10750" width="10.5703125" style="203" customWidth="1"/>
    <col min="10751" max="10751" width="12" style="203" customWidth="1"/>
    <col min="10752" max="10752" width="8.7109375" style="203" customWidth="1"/>
    <col min="10753" max="10753" width="7.28515625" style="203" customWidth="1"/>
    <col min="10754" max="10754" width="14.42578125" style="203" customWidth="1"/>
    <col min="10755" max="10755" width="7.140625" style="203" customWidth="1"/>
    <col min="10756" max="10756" width="7" style="203" customWidth="1"/>
    <col min="10757" max="10757" width="11.7109375" style="203" customWidth="1"/>
    <col min="10758" max="10758" width="10.140625" style="203" customWidth="1"/>
    <col min="10759" max="10759" width="10.140625" style="203" bestFit="1" customWidth="1"/>
    <col min="10760" max="10760" width="14.5703125" style="203" bestFit="1" customWidth="1"/>
    <col min="10761" max="10762" width="12.85546875" style="203" bestFit="1" customWidth="1"/>
    <col min="10763" max="10763" width="11.42578125" style="203" customWidth="1"/>
    <col min="10764" max="10764" width="14.7109375" style="203" customWidth="1"/>
    <col min="10765" max="10765" width="11.85546875" style="203" bestFit="1" customWidth="1"/>
    <col min="10766" max="10767" width="9.85546875" style="203" bestFit="1" customWidth="1"/>
    <col min="10768" max="10769" width="9.140625" style="203"/>
    <col min="10770" max="10770" width="11.7109375" style="203" bestFit="1" customWidth="1"/>
    <col min="10771" max="11004" width="9.140625" style="203"/>
    <col min="11005" max="11005" width="4.28515625" style="203" customWidth="1"/>
    <col min="11006" max="11006" width="10.5703125" style="203" customWidth="1"/>
    <col min="11007" max="11007" width="12" style="203" customWidth="1"/>
    <col min="11008" max="11008" width="8.7109375" style="203" customWidth="1"/>
    <col min="11009" max="11009" width="7.28515625" style="203" customWidth="1"/>
    <col min="11010" max="11010" width="14.42578125" style="203" customWidth="1"/>
    <col min="11011" max="11011" width="7.140625" style="203" customWidth="1"/>
    <col min="11012" max="11012" width="7" style="203" customWidth="1"/>
    <col min="11013" max="11013" width="11.7109375" style="203" customWidth="1"/>
    <col min="11014" max="11014" width="10.140625" style="203" customWidth="1"/>
    <col min="11015" max="11015" width="10.140625" style="203" bestFit="1" customWidth="1"/>
    <col min="11016" max="11016" width="14.5703125" style="203" bestFit="1" customWidth="1"/>
    <col min="11017" max="11018" width="12.85546875" style="203" bestFit="1" customWidth="1"/>
    <col min="11019" max="11019" width="11.42578125" style="203" customWidth="1"/>
    <col min="11020" max="11020" width="14.7109375" style="203" customWidth="1"/>
    <col min="11021" max="11021" width="11.85546875" style="203" bestFit="1" customWidth="1"/>
    <col min="11022" max="11023" width="9.85546875" style="203" bestFit="1" customWidth="1"/>
    <col min="11024" max="11025" width="9.140625" style="203"/>
    <col min="11026" max="11026" width="11.7109375" style="203" bestFit="1" customWidth="1"/>
    <col min="11027" max="11260" width="9.140625" style="203"/>
    <col min="11261" max="11261" width="4.28515625" style="203" customWidth="1"/>
    <col min="11262" max="11262" width="10.5703125" style="203" customWidth="1"/>
    <col min="11263" max="11263" width="12" style="203" customWidth="1"/>
    <col min="11264" max="11264" width="8.7109375" style="203" customWidth="1"/>
    <col min="11265" max="11265" width="7.28515625" style="203" customWidth="1"/>
    <col min="11266" max="11266" width="14.42578125" style="203" customWidth="1"/>
    <col min="11267" max="11267" width="7.140625" style="203" customWidth="1"/>
    <col min="11268" max="11268" width="7" style="203" customWidth="1"/>
    <col min="11269" max="11269" width="11.7109375" style="203" customWidth="1"/>
    <col min="11270" max="11270" width="10.140625" style="203" customWidth="1"/>
    <col min="11271" max="11271" width="10.140625" style="203" bestFit="1" customWidth="1"/>
    <col min="11272" max="11272" width="14.5703125" style="203" bestFit="1" customWidth="1"/>
    <col min="11273" max="11274" width="12.85546875" style="203" bestFit="1" customWidth="1"/>
    <col min="11275" max="11275" width="11.42578125" style="203" customWidth="1"/>
    <col min="11276" max="11276" width="14.7109375" style="203" customWidth="1"/>
    <col min="11277" max="11277" width="11.85546875" style="203" bestFit="1" customWidth="1"/>
    <col min="11278" max="11279" width="9.85546875" style="203" bestFit="1" customWidth="1"/>
    <col min="11280" max="11281" width="9.140625" style="203"/>
    <col min="11282" max="11282" width="11.7109375" style="203" bestFit="1" customWidth="1"/>
    <col min="11283" max="11516" width="9.140625" style="203"/>
    <col min="11517" max="11517" width="4.28515625" style="203" customWidth="1"/>
    <col min="11518" max="11518" width="10.5703125" style="203" customWidth="1"/>
    <col min="11519" max="11519" width="12" style="203" customWidth="1"/>
    <col min="11520" max="11520" width="8.7109375" style="203" customWidth="1"/>
    <col min="11521" max="11521" width="7.28515625" style="203" customWidth="1"/>
    <col min="11522" max="11522" width="14.42578125" style="203" customWidth="1"/>
    <col min="11523" max="11523" width="7.140625" style="203" customWidth="1"/>
    <col min="11524" max="11524" width="7" style="203" customWidth="1"/>
    <col min="11525" max="11525" width="11.7109375" style="203" customWidth="1"/>
    <col min="11526" max="11526" width="10.140625" style="203" customWidth="1"/>
    <col min="11527" max="11527" width="10.140625" style="203" bestFit="1" customWidth="1"/>
    <col min="11528" max="11528" width="14.5703125" style="203" bestFit="1" customWidth="1"/>
    <col min="11529" max="11530" width="12.85546875" style="203" bestFit="1" customWidth="1"/>
    <col min="11531" max="11531" width="11.42578125" style="203" customWidth="1"/>
    <col min="11532" max="11532" width="14.7109375" style="203" customWidth="1"/>
    <col min="11533" max="11533" width="11.85546875" style="203" bestFit="1" customWidth="1"/>
    <col min="11534" max="11535" width="9.85546875" style="203" bestFit="1" customWidth="1"/>
    <col min="11536" max="11537" width="9.140625" style="203"/>
    <col min="11538" max="11538" width="11.7109375" style="203" bestFit="1" customWidth="1"/>
    <col min="11539" max="11772" width="9.140625" style="203"/>
    <col min="11773" max="11773" width="4.28515625" style="203" customWidth="1"/>
    <col min="11774" max="11774" width="10.5703125" style="203" customWidth="1"/>
    <col min="11775" max="11775" width="12" style="203" customWidth="1"/>
    <col min="11776" max="11776" width="8.7109375" style="203" customWidth="1"/>
    <col min="11777" max="11777" width="7.28515625" style="203" customWidth="1"/>
    <col min="11778" max="11778" width="14.42578125" style="203" customWidth="1"/>
    <col min="11779" max="11779" width="7.140625" style="203" customWidth="1"/>
    <col min="11780" max="11780" width="7" style="203" customWidth="1"/>
    <col min="11781" max="11781" width="11.7109375" style="203" customWidth="1"/>
    <col min="11782" max="11782" width="10.140625" style="203" customWidth="1"/>
    <col min="11783" max="11783" width="10.140625" style="203" bestFit="1" customWidth="1"/>
    <col min="11784" max="11784" width="14.5703125" style="203" bestFit="1" customWidth="1"/>
    <col min="11785" max="11786" width="12.85546875" style="203" bestFit="1" customWidth="1"/>
    <col min="11787" max="11787" width="11.42578125" style="203" customWidth="1"/>
    <col min="11788" max="11788" width="14.7109375" style="203" customWidth="1"/>
    <col min="11789" max="11789" width="11.85546875" style="203" bestFit="1" customWidth="1"/>
    <col min="11790" max="11791" width="9.85546875" style="203" bestFit="1" customWidth="1"/>
    <col min="11792" max="11793" width="9.140625" style="203"/>
    <col min="11794" max="11794" width="11.7109375" style="203" bestFit="1" customWidth="1"/>
    <col min="11795" max="12028" width="9.140625" style="203"/>
    <col min="12029" max="12029" width="4.28515625" style="203" customWidth="1"/>
    <col min="12030" max="12030" width="10.5703125" style="203" customWidth="1"/>
    <col min="12031" max="12031" width="12" style="203" customWidth="1"/>
    <col min="12032" max="12032" width="8.7109375" style="203" customWidth="1"/>
    <col min="12033" max="12033" width="7.28515625" style="203" customWidth="1"/>
    <col min="12034" max="12034" width="14.42578125" style="203" customWidth="1"/>
    <col min="12035" max="12035" width="7.140625" style="203" customWidth="1"/>
    <col min="12036" max="12036" width="7" style="203" customWidth="1"/>
    <col min="12037" max="12037" width="11.7109375" style="203" customWidth="1"/>
    <col min="12038" max="12038" width="10.140625" style="203" customWidth="1"/>
    <col min="12039" max="12039" width="10.140625" style="203" bestFit="1" customWidth="1"/>
    <col min="12040" max="12040" width="14.5703125" style="203" bestFit="1" customWidth="1"/>
    <col min="12041" max="12042" width="12.85546875" style="203" bestFit="1" customWidth="1"/>
    <col min="12043" max="12043" width="11.42578125" style="203" customWidth="1"/>
    <col min="12044" max="12044" width="14.7109375" style="203" customWidth="1"/>
    <col min="12045" max="12045" width="11.85546875" style="203" bestFit="1" customWidth="1"/>
    <col min="12046" max="12047" width="9.85546875" style="203" bestFit="1" customWidth="1"/>
    <col min="12048" max="12049" width="9.140625" style="203"/>
    <col min="12050" max="12050" width="11.7109375" style="203" bestFit="1" customWidth="1"/>
    <col min="12051" max="12284" width="9.140625" style="203"/>
    <col min="12285" max="12285" width="4.28515625" style="203" customWidth="1"/>
    <col min="12286" max="12286" width="10.5703125" style="203" customWidth="1"/>
    <col min="12287" max="12287" width="12" style="203" customWidth="1"/>
    <col min="12288" max="12288" width="8.7109375" style="203" customWidth="1"/>
    <col min="12289" max="12289" width="7.28515625" style="203" customWidth="1"/>
    <col min="12290" max="12290" width="14.42578125" style="203" customWidth="1"/>
    <col min="12291" max="12291" width="7.140625" style="203" customWidth="1"/>
    <col min="12292" max="12292" width="7" style="203" customWidth="1"/>
    <col min="12293" max="12293" width="11.7109375" style="203" customWidth="1"/>
    <col min="12294" max="12294" width="10.140625" style="203" customWidth="1"/>
    <col min="12295" max="12295" width="10.140625" style="203" bestFit="1" customWidth="1"/>
    <col min="12296" max="12296" width="14.5703125" style="203" bestFit="1" customWidth="1"/>
    <col min="12297" max="12298" width="12.85546875" style="203" bestFit="1" customWidth="1"/>
    <col min="12299" max="12299" width="11.42578125" style="203" customWidth="1"/>
    <col min="12300" max="12300" width="14.7109375" style="203" customWidth="1"/>
    <col min="12301" max="12301" width="11.85546875" style="203" bestFit="1" customWidth="1"/>
    <col min="12302" max="12303" width="9.85546875" style="203" bestFit="1" customWidth="1"/>
    <col min="12304" max="12305" width="9.140625" style="203"/>
    <col min="12306" max="12306" width="11.7109375" style="203" bestFit="1" customWidth="1"/>
    <col min="12307" max="12540" width="9.140625" style="203"/>
    <col min="12541" max="12541" width="4.28515625" style="203" customWidth="1"/>
    <col min="12542" max="12542" width="10.5703125" style="203" customWidth="1"/>
    <col min="12543" max="12543" width="12" style="203" customWidth="1"/>
    <col min="12544" max="12544" width="8.7109375" style="203" customWidth="1"/>
    <col min="12545" max="12545" width="7.28515625" style="203" customWidth="1"/>
    <col min="12546" max="12546" width="14.42578125" style="203" customWidth="1"/>
    <col min="12547" max="12547" width="7.140625" style="203" customWidth="1"/>
    <col min="12548" max="12548" width="7" style="203" customWidth="1"/>
    <col min="12549" max="12549" width="11.7109375" style="203" customWidth="1"/>
    <col min="12550" max="12550" width="10.140625" style="203" customWidth="1"/>
    <col min="12551" max="12551" width="10.140625" style="203" bestFit="1" customWidth="1"/>
    <col min="12552" max="12552" width="14.5703125" style="203" bestFit="1" customWidth="1"/>
    <col min="12553" max="12554" width="12.85546875" style="203" bestFit="1" customWidth="1"/>
    <col min="12555" max="12555" width="11.42578125" style="203" customWidth="1"/>
    <col min="12556" max="12556" width="14.7109375" style="203" customWidth="1"/>
    <col min="12557" max="12557" width="11.85546875" style="203" bestFit="1" customWidth="1"/>
    <col min="12558" max="12559" width="9.85546875" style="203" bestFit="1" customWidth="1"/>
    <col min="12560" max="12561" width="9.140625" style="203"/>
    <col min="12562" max="12562" width="11.7109375" style="203" bestFit="1" customWidth="1"/>
    <col min="12563" max="12796" width="9.140625" style="203"/>
    <col min="12797" max="12797" width="4.28515625" style="203" customWidth="1"/>
    <col min="12798" max="12798" width="10.5703125" style="203" customWidth="1"/>
    <col min="12799" max="12799" width="12" style="203" customWidth="1"/>
    <col min="12800" max="12800" width="8.7109375" style="203" customWidth="1"/>
    <col min="12801" max="12801" width="7.28515625" style="203" customWidth="1"/>
    <col min="12802" max="12802" width="14.42578125" style="203" customWidth="1"/>
    <col min="12803" max="12803" width="7.140625" style="203" customWidth="1"/>
    <col min="12804" max="12804" width="7" style="203" customWidth="1"/>
    <col min="12805" max="12805" width="11.7109375" style="203" customWidth="1"/>
    <col min="12806" max="12806" width="10.140625" style="203" customWidth="1"/>
    <col min="12807" max="12807" width="10.140625" style="203" bestFit="1" customWidth="1"/>
    <col min="12808" max="12808" width="14.5703125" style="203" bestFit="1" customWidth="1"/>
    <col min="12809" max="12810" width="12.85546875" style="203" bestFit="1" customWidth="1"/>
    <col min="12811" max="12811" width="11.42578125" style="203" customWidth="1"/>
    <col min="12812" max="12812" width="14.7109375" style="203" customWidth="1"/>
    <col min="12813" max="12813" width="11.85546875" style="203" bestFit="1" customWidth="1"/>
    <col min="12814" max="12815" width="9.85546875" style="203" bestFit="1" customWidth="1"/>
    <col min="12816" max="12817" width="9.140625" style="203"/>
    <col min="12818" max="12818" width="11.7109375" style="203" bestFit="1" customWidth="1"/>
    <col min="12819" max="13052" width="9.140625" style="203"/>
    <col min="13053" max="13053" width="4.28515625" style="203" customWidth="1"/>
    <col min="13054" max="13054" width="10.5703125" style="203" customWidth="1"/>
    <col min="13055" max="13055" width="12" style="203" customWidth="1"/>
    <col min="13056" max="13056" width="8.7109375" style="203" customWidth="1"/>
    <col min="13057" max="13057" width="7.28515625" style="203" customWidth="1"/>
    <col min="13058" max="13058" width="14.42578125" style="203" customWidth="1"/>
    <col min="13059" max="13059" width="7.140625" style="203" customWidth="1"/>
    <col min="13060" max="13060" width="7" style="203" customWidth="1"/>
    <col min="13061" max="13061" width="11.7109375" style="203" customWidth="1"/>
    <col min="13062" max="13062" width="10.140625" style="203" customWidth="1"/>
    <col min="13063" max="13063" width="10.140625" style="203" bestFit="1" customWidth="1"/>
    <col min="13064" max="13064" width="14.5703125" style="203" bestFit="1" customWidth="1"/>
    <col min="13065" max="13066" width="12.85546875" style="203" bestFit="1" customWidth="1"/>
    <col min="13067" max="13067" width="11.42578125" style="203" customWidth="1"/>
    <col min="13068" max="13068" width="14.7109375" style="203" customWidth="1"/>
    <col min="13069" max="13069" width="11.85546875" style="203" bestFit="1" customWidth="1"/>
    <col min="13070" max="13071" width="9.85546875" style="203" bestFit="1" customWidth="1"/>
    <col min="13072" max="13073" width="9.140625" style="203"/>
    <col min="13074" max="13074" width="11.7109375" style="203" bestFit="1" customWidth="1"/>
    <col min="13075" max="13308" width="9.140625" style="203"/>
    <col min="13309" max="13309" width="4.28515625" style="203" customWidth="1"/>
    <col min="13310" max="13310" width="10.5703125" style="203" customWidth="1"/>
    <col min="13311" max="13311" width="12" style="203" customWidth="1"/>
    <col min="13312" max="13312" width="8.7109375" style="203" customWidth="1"/>
    <col min="13313" max="13313" width="7.28515625" style="203" customWidth="1"/>
    <col min="13314" max="13314" width="14.42578125" style="203" customWidth="1"/>
    <col min="13315" max="13315" width="7.140625" style="203" customWidth="1"/>
    <col min="13316" max="13316" width="7" style="203" customWidth="1"/>
    <col min="13317" max="13317" width="11.7109375" style="203" customWidth="1"/>
    <col min="13318" max="13318" width="10.140625" style="203" customWidth="1"/>
    <col min="13319" max="13319" width="10.140625" style="203" bestFit="1" customWidth="1"/>
    <col min="13320" max="13320" width="14.5703125" style="203" bestFit="1" customWidth="1"/>
    <col min="13321" max="13322" width="12.85546875" style="203" bestFit="1" customWidth="1"/>
    <col min="13323" max="13323" width="11.42578125" style="203" customWidth="1"/>
    <col min="13324" max="13324" width="14.7109375" style="203" customWidth="1"/>
    <col min="13325" max="13325" width="11.85546875" style="203" bestFit="1" customWidth="1"/>
    <col min="13326" max="13327" width="9.85546875" style="203" bestFit="1" customWidth="1"/>
    <col min="13328" max="13329" width="9.140625" style="203"/>
    <col min="13330" max="13330" width="11.7109375" style="203" bestFit="1" customWidth="1"/>
    <col min="13331" max="13564" width="9.140625" style="203"/>
    <col min="13565" max="13565" width="4.28515625" style="203" customWidth="1"/>
    <col min="13566" max="13566" width="10.5703125" style="203" customWidth="1"/>
    <col min="13567" max="13567" width="12" style="203" customWidth="1"/>
    <col min="13568" max="13568" width="8.7109375" style="203" customWidth="1"/>
    <col min="13569" max="13569" width="7.28515625" style="203" customWidth="1"/>
    <col min="13570" max="13570" width="14.42578125" style="203" customWidth="1"/>
    <col min="13571" max="13571" width="7.140625" style="203" customWidth="1"/>
    <col min="13572" max="13572" width="7" style="203" customWidth="1"/>
    <col min="13573" max="13573" width="11.7109375" style="203" customWidth="1"/>
    <col min="13574" max="13574" width="10.140625" style="203" customWidth="1"/>
    <col min="13575" max="13575" width="10.140625" style="203" bestFit="1" customWidth="1"/>
    <col min="13576" max="13576" width="14.5703125" style="203" bestFit="1" customWidth="1"/>
    <col min="13577" max="13578" width="12.85546875" style="203" bestFit="1" customWidth="1"/>
    <col min="13579" max="13579" width="11.42578125" style="203" customWidth="1"/>
    <col min="13580" max="13580" width="14.7109375" style="203" customWidth="1"/>
    <col min="13581" max="13581" width="11.85546875" style="203" bestFit="1" customWidth="1"/>
    <col min="13582" max="13583" width="9.85546875" style="203" bestFit="1" customWidth="1"/>
    <col min="13584" max="13585" width="9.140625" style="203"/>
    <col min="13586" max="13586" width="11.7109375" style="203" bestFit="1" customWidth="1"/>
    <col min="13587" max="13820" width="9.140625" style="203"/>
    <col min="13821" max="13821" width="4.28515625" style="203" customWidth="1"/>
    <col min="13822" max="13822" width="10.5703125" style="203" customWidth="1"/>
    <col min="13823" max="13823" width="12" style="203" customWidth="1"/>
    <col min="13824" max="13824" width="8.7109375" style="203" customWidth="1"/>
    <col min="13825" max="13825" width="7.28515625" style="203" customWidth="1"/>
    <col min="13826" max="13826" width="14.42578125" style="203" customWidth="1"/>
    <col min="13827" max="13827" width="7.140625" style="203" customWidth="1"/>
    <col min="13828" max="13828" width="7" style="203" customWidth="1"/>
    <col min="13829" max="13829" width="11.7109375" style="203" customWidth="1"/>
    <col min="13830" max="13830" width="10.140625" style="203" customWidth="1"/>
    <col min="13831" max="13831" width="10.140625" style="203" bestFit="1" customWidth="1"/>
    <col min="13832" max="13832" width="14.5703125" style="203" bestFit="1" customWidth="1"/>
    <col min="13833" max="13834" width="12.85546875" style="203" bestFit="1" customWidth="1"/>
    <col min="13835" max="13835" width="11.42578125" style="203" customWidth="1"/>
    <col min="13836" max="13836" width="14.7109375" style="203" customWidth="1"/>
    <col min="13837" max="13837" width="11.85546875" style="203" bestFit="1" customWidth="1"/>
    <col min="13838" max="13839" width="9.85546875" style="203" bestFit="1" customWidth="1"/>
    <col min="13840" max="13841" width="9.140625" style="203"/>
    <col min="13842" max="13842" width="11.7109375" style="203" bestFit="1" customWidth="1"/>
    <col min="13843" max="14076" width="9.140625" style="203"/>
    <col min="14077" max="14077" width="4.28515625" style="203" customWidth="1"/>
    <col min="14078" max="14078" width="10.5703125" style="203" customWidth="1"/>
    <col min="14079" max="14079" width="12" style="203" customWidth="1"/>
    <col min="14080" max="14080" width="8.7109375" style="203" customWidth="1"/>
    <col min="14081" max="14081" width="7.28515625" style="203" customWidth="1"/>
    <col min="14082" max="14082" width="14.42578125" style="203" customWidth="1"/>
    <col min="14083" max="14083" width="7.140625" style="203" customWidth="1"/>
    <col min="14084" max="14084" width="7" style="203" customWidth="1"/>
    <col min="14085" max="14085" width="11.7109375" style="203" customWidth="1"/>
    <col min="14086" max="14086" width="10.140625" style="203" customWidth="1"/>
    <col min="14087" max="14087" width="10.140625" style="203" bestFit="1" customWidth="1"/>
    <col min="14088" max="14088" width="14.5703125" style="203" bestFit="1" customWidth="1"/>
    <col min="14089" max="14090" width="12.85546875" style="203" bestFit="1" customWidth="1"/>
    <col min="14091" max="14091" width="11.42578125" style="203" customWidth="1"/>
    <col min="14092" max="14092" width="14.7109375" style="203" customWidth="1"/>
    <col min="14093" max="14093" width="11.85546875" style="203" bestFit="1" customWidth="1"/>
    <col min="14094" max="14095" width="9.85546875" style="203" bestFit="1" customWidth="1"/>
    <col min="14096" max="14097" width="9.140625" style="203"/>
    <col min="14098" max="14098" width="11.7109375" style="203" bestFit="1" customWidth="1"/>
    <col min="14099" max="14332" width="9.140625" style="203"/>
    <col min="14333" max="14333" width="4.28515625" style="203" customWidth="1"/>
    <col min="14334" max="14334" width="10.5703125" style="203" customWidth="1"/>
    <col min="14335" max="14335" width="12" style="203" customWidth="1"/>
    <col min="14336" max="14336" width="8.7109375" style="203" customWidth="1"/>
    <col min="14337" max="14337" width="7.28515625" style="203" customWidth="1"/>
    <col min="14338" max="14338" width="14.42578125" style="203" customWidth="1"/>
    <col min="14339" max="14339" width="7.140625" style="203" customWidth="1"/>
    <col min="14340" max="14340" width="7" style="203" customWidth="1"/>
    <col min="14341" max="14341" width="11.7109375" style="203" customWidth="1"/>
    <col min="14342" max="14342" width="10.140625" style="203" customWidth="1"/>
    <col min="14343" max="14343" width="10.140625" style="203" bestFit="1" customWidth="1"/>
    <col min="14344" max="14344" width="14.5703125" style="203" bestFit="1" customWidth="1"/>
    <col min="14345" max="14346" width="12.85546875" style="203" bestFit="1" customWidth="1"/>
    <col min="14347" max="14347" width="11.42578125" style="203" customWidth="1"/>
    <col min="14348" max="14348" width="14.7109375" style="203" customWidth="1"/>
    <col min="14349" max="14349" width="11.85546875" style="203" bestFit="1" customWidth="1"/>
    <col min="14350" max="14351" width="9.85546875" style="203" bestFit="1" customWidth="1"/>
    <col min="14352" max="14353" width="9.140625" style="203"/>
    <col min="14354" max="14354" width="11.7109375" style="203" bestFit="1" customWidth="1"/>
    <col min="14355" max="14588" width="9.140625" style="203"/>
    <col min="14589" max="14589" width="4.28515625" style="203" customWidth="1"/>
    <col min="14590" max="14590" width="10.5703125" style="203" customWidth="1"/>
    <col min="14591" max="14591" width="12" style="203" customWidth="1"/>
    <col min="14592" max="14592" width="8.7109375" style="203" customWidth="1"/>
    <col min="14593" max="14593" width="7.28515625" style="203" customWidth="1"/>
    <col min="14594" max="14594" width="14.42578125" style="203" customWidth="1"/>
    <col min="14595" max="14595" width="7.140625" style="203" customWidth="1"/>
    <col min="14596" max="14596" width="7" style="203" customWidth="1"/>
    <col min="14597" max="14597" width="11.7109375" style="203" customWidth="1"/>
    <col min="14598" max="14598" width="10.140625" style="203" customWidth="1"/>
    <col min="14599" max="14599" width="10.140625" style="203" bestFit="1" customWidth="1"/>
    <col min="14600" max="14600" width="14.5703125" style="203" bestFit="1" customWidth="1"/>
    <col min="14601" max="14602" width="12.85546875" style="203" bestFit="1" customWidth="1"/>
    <col min="14603" max="14603" width="11.42578125" style="203" customWidth="1"/>
    <col min="14604" max="14604" width="14.7109375" style="203" customWidth="1"/>
    <col min="14605" max="14605" width="11.85546875" style="203" bestFit="1" customWidth="1"/>
    <col min="14606" max="14607" width="9.85546875" style="203" bestFit="1" customWidth="1"/>
    <col min="14608" max="14609" width="9.140625" style="203"/>
    <col min="14610" max="14610" width="11.7109375" style="203" bestFit="1" customWidth="1"/>
    <col min="14611" max="14844" width="9.140625" style="203"/>
    <col min="14845" max="14845" width="4.28515625" style="203" customWidth="1"/>
    <col min="14846" max="14846" width="10.5703125" style="203" customWidth="1"/>
    <col min="14847" max="14847" width="12" style="203" customWidth="1"/>
    <col min="14848" max="14848" width="8.7109375" style="203" customWidth="1"/>
    <col min="14849" max="14849" width="7.28515625" style="203" customWidth="1"/>
    <col min="14850" max="14850" width="14.42578125" style="203" customWidth="1"/>
    <col min="14851" max="14851" width="7.140625" style="203" customWidth="1"/>
    <col min="14852" max="14852" width="7" style="203" customWidth="1"/>
    <col min="14853" max="14853" width="11.7109375" style="203" customWidth="1"/>
    <col min="14854" max="14854" width="10.140625" style="203" customWidth="1"/>
    <col min="14855" max="14855" width="10.140625" style="203" bestFit="1" customWidth="1"/>
    <col min="14856" max="14856" width="14.5703125" style="203" bestFit="1" customWidth="1"/>
    <col min="14857" max="14858" width="12.85546875" style="203" bestFit="1" customWidth="1"/>
    <col min="14859" max="14859" width="11.42578125" style="203" customWidth="1"/>
    <col min="14860" max="14860" width="14.7109375" style="203" customWidth="1"/>
    <col min="14861" max="14861" width="11.85546875" style="203" bestFit="1" customWidth="1"/>
    <col min="14862" max="14863" width="9.85546875" style="203" bestFit="1" customWidth="1"/>
    <col min="14864" max="14865" width="9.140625" style="203"/>
    <col min="14866" max="14866" width="11.7109375" style="203" bestFit="1" customWidth="1"/>
    <col min="14867" max="15100" width="9.140625" style="203"/>
    <col min="15101" max="15101" width="4.28515625" style="203" customWidth="1"/>
    <col min="15102" max="15102" width="10.5703125" style="203" customWidth="1"/>
    <col min="15103" max="15103" width="12" style="203" customWidth="1"/>
    <col min="15104" max="15104" width="8.7109375" style="203" customWidth="1"/>
    <col min="15105" max="15105" width="7.28515625" style="203" customWidth="1"/>
    <col min="15106" max="15106" width="14.42578125" style="203" customWidth="1"/>
    <col min="15107" max="15107" width="7.140625" style="203" customWidth="1"/>
    <col min="15108" max="15108" width="7" style="203" customWidth="1"/>
    <col min="15109" max="15109" width="11.7109375" style="203" customWidth="1"/>
    <col min="15110" max="15110" width="10.140625" style="203" customWidth="1"/>
    <col min="15111" max="15111" width="10.140625" style="203" bestFit="1" customWidth="1"/>
    <col min="15112" max="15112" width="14.5703125" style="203" bestFit="1" customWidth="1"/>
    <col min="15113" max="15114" width="12.85546875" style="203" bestFit="1" customWidth="1"/>
    <col min="15115" max="15115" width="11.42578125" style="203" customWidth="1"/>
    <col min="15116" max="15116" width="14.7109375" style="203" customWidth="1"/>
    <col min="15117" max="15117" width="11.85546875" style="203" bestFit="1" customWidth="1"/>
    <col min="15118" max="15119" width="9.85546875" style="203" bestFit="1" customWidth="1"/>
    <col min="15120" max="15121" width="9.140625" style="203"/>
    <col min="15122" max="15122" width="11.7109375" style="203" bestFit="1" customWidth="1"/>
    <col min="15123" max="15356" width="9.140625" style="203"/>
    <col min="15357" max="15357" width="4.28515625" style="203" customWidth="1"/>
    <col min="15358" max="15358" width="10.5703125" style="203" customWidth="1"/>
    <col min="15359" max="15359" width="12" style="203" customWidth="1"/>
    <col min="15360" max="15360" width="8.7109375" style="203" customWidth="1"/>
    <col min="15361" max="15361" width="7.28515625" style="203" customWidth="1"/>
    <col min="15362" max="15362" width="14.42578125" style="203" customWidth="1"/>
    <col min="15363" max="15363" width="7.140625" style="203" customWidth="1"/>
    <col min="15364" max="15364" width="7" style="203" customWidth="1"/>
    <col min="15365" max="15365" width="11.7109375" style="203" customWidth="1"/>
    <col min="15366" max="15366" width="10.140625" style="203" customWidth="1"/>
    <col min="15367" max="15367" width="10.140625" style="203" bestFit="1" customWidth="1"/>
    <col min="15368" max="15368" width="14.5703125" style="203" bestFit="1" customWidth="1"/>
    <col min="15369" max="15370" width="12.85546875" style="203" bestFit="1" customWidth="1"/>
    <col min="15371" max="15371" width="11.42578125" style="203" customWidth="1"/>
    <col min="15372" max="15372" width="14.7109375" style="203" customWidth="1"/>
    <col min="15373" max="15373" width="11.85546875" style="203" bestFit="1" customWidth="1"/>
    <col min="15374" max="15375" width="9.85546875" style="203" bestFit="1" customWidth="1"/>
    <col min="15376" max="15377" width="9.140625" style="203"/>
    <col min="15378" max="15378" width="11.7109375" style="203" bestFit="1" customWidth="1"/>
    <col min="15379" max="15612" width="9.140625" style="203"/>
    <col min="15613" max="15613" width="4.28515625" style="203" customWidth="1"/>
    <col min="15614" max="15614" width="10.5703125" style="203" customWidth="1"/>
    <col min="15615" max="15615" width="12" style="203" customWidth="1"/>
    <col min="15616" max="15616" width="8.7109375" style="203" customWidth="1"/>
    <col min="15617" max="15617" width="7.28515625" style="203" customWidth="1"/>
    <col min="15618" max="15618" width="14.42578125" style="203" customWidth="1"/>
    <col min="15619" max="15619" width="7.140625" style="203" customWidth="1"/>
    <col min="15620" max="15620" width="7" style="203" customWidth="1"/>
    <col min="15621" max="15621" width="11.7109375" style="203" customWidth="1"/>
    <col min="15622" max="15622" width="10.140625" style="203" customWidth="1"/>
    <col min="15623" max="15623" width="10.140625" style="203" bestFit="1" customWidth="1"/>
    <col min="15624" max="15624" width="14.5703125" style="203" bestFit="1" customWidth="1"/>
    <col min="15625" max="15626" width="12.85546875" style="203" bestFit="1" customWidth="1"/>
    <col min="15627" max="15627" width="11.42578125" style="203" customWidth="1"/>
    <col min="15628" max="15628" width="14.7109375" style="203" customWidth="1"/>
    <col min="15629" max="15629" width="11.85546875" style="203" bestFit="1" customWidth="1"/>
    <col min="15630" max="15631" width="9.85546875" style="203" bestFit="1" customWidth="1"/>
    <col min="15632" max="15633" width="9.140625" style="203"/>
    <col min="15634" max="15634" width="11.7109375" style="203" bestFit="1" customWidth="1"/>
    <col min="15635" max="15868" width="9.140625" style="203"/>
    <col min="15869" max="15869" width="4.28515625" style="203" customWidth="1"/>
    <col min="15870" max="15870" width="10.5703125" style="203" customWidth="1"/>
    <col min="15871" max="15871" width="12" style="203" customWidth="1"/>
    <col min="15872" max="15872" width="8.7109375" style="203" customWidth="1"/>
    <col min="15873" max="15873" width="7.28515625" style="203" customWidth="1"/>
    <col min="15874" max="15874" width="14.42578125" style="203" customWidth="1"/>
    <col min="15875" max="15875" width="7.140625" style="203" customWidth="1"/>
    <col min="15876" max="15876" width="7" style="203" customWidth="1"/>
    <col min="15877" max="15877" width="11.7109375" style="203" customWidth="1"/>
    <col min="15878" max="15878" width="10.140625" style="203" customWidth="1"/>
    <col min="15879" max="15879" width="10.140625" style="203" bestFit="1" customWidth="1"/>
    <col min="15880" max="15880" width="14.5703125" style="203" bestFit="1" customWidth="1"/>
    <col min="15881" max="15882" width="12.85546875" style="203" bestFit="1" customWidth="1"/>
    <col min="15883" max="15883" width="11.42578125" style="203" customWidth="1"/>
    <col min="15884" max="15884" width="14.7109375" style="203" customWidth="1"/>
    <col min="15885" max="15885" width="11.85546875" style="203" bestFit="1" customWidth="1"/>
    <col min="15886" max="15887" width="9.85546875" style="203" bestFit="1" customWidth="1"/>
    <col min="15888" max="15889" width="9.140625" style="203"/>
    <col min="15890" max="15890" width="11.7109375" style="203" bestFit="1" customWidth="1"/>
    <col min="15891" max="16124" width="9.140625" style="203"/>
    <col min="16125" max="16125" width="4.28515625" style="203" customWidth="1"/>
    <col min="16126" max="16126" width="10.5703125" style="203" customWidth="1"/>
    <col min="16127" max="16127" width="12" style="203" customWidth="1"/>
    <col min="16128" max="16128" width="8.7109375" style="203" customWidth="1"/>
    <col min="16129" max="16129" width="7.28515625" style="203" customWidth="1"/>
    <col min="16130" max="16130" width="14.42578125" style="203" customWidth="1"/>
    <col min="16131" max="16131" width="7.140625" style="203" customWidth="1"/>
    <col min="16132" max="16132" width="7" style="203" customWidth="1"/>
    <col min="16133" max="16133" width="11.7109375" style="203" customWidth="1"/>
    <col min="16134" max="16134" width="10.140625" style="203" customWidth="1"/>
    <col min="16135" max="16135" width="10.140625" style="203" bestFit="1" customWidth="1"/>
    <col min="16136" max="16136" width="14.5703125" style="203" bestFit="1" customWidth="1"/>
    <col min="16137" max="16138" width="12.85546875" style="203" bestFit="1" customWidth="1"/>
    <col min="16139" max="16139" width="11.42578125" style="203" customWidth="1"/>
    <col min="16140" max="16140" width="14.7109375" style="203" customWidth="1"/>
    <col min="16141" max="16141" width="11.85546875" style="203" bestFit="1" customWidth="1"/>
    <col min="16142" max="16143" width="9.85546875" style="203" bestFit="1" customWidth="1"/>
    <col min="16144" max="16145" width="9.140625" style="203"/>
    <col min="16146" max="16146" width="11.7109375" style="203" bestFit="1" customWidth="1"/>
    <col min="16147" max="16384" width="9.140625" style="203"/>
  </cols>
  <sheetData>
    <row r="1" spans="1:15" ht="31.5" customHeight="1" x14ac:dyDescent="0.25">
      <c r="A1" s="1142" t="s">
        <v>127</v>
      </c>
      <c r="B1" s="1142"/>
      <c r="C1" s="1142"/>
      <c r="D1" s="1142"/>
      <c r="E1" s="1142"/>
      <c r="F1" s="1142"/>
      <c r="G1" s="1142"/>
      <c r="H1" s="1142"/>
      <c r="I1" s="1142"/>
      <c r="J1" s="204"/>
    </row>
    <row r="2" spans="1:15" x14ac:dyDescent="0.25">
      <c r="A2" s="768"/>
      <c r="B2" s="768"/>
      <c r="C2" s="768"/>
      <c r="D2" s="768"/>
      <c r="E2" s="768"/>
      <c r="F2" s="768"/>
      <c r="G2" s="768"/>
      <c r="H2" s="768"/>
      <c r="I2" s="776"/>
      <c r="J2" s="204"/>
    </row>
    <row r="3" spans="1:15" ht="15.75" x14ac:dyDescent="0.25">
      <c r="A3" s="1192" t="s">
        <v>384</v>
      </c>
      <c r="B3" s="1192"/>
      <c r="C3" s="1192"/>
      <c r="D3" s="1192"/>
      <c r="E3" s="1192"/>
      <c r="F3" s="1192"/>
      <c r="G3" s="1192"/>
      <c r="H3" s="1192"/>
      <c r="I3" s="1192"/>
      <c r="J3" s="204"/>
    </row>
    <row r="4" spans="1:15" ht="15" customHeight="1" x14ac:dyDescent="0.25">
      <c r="A4" s="1144" t="str">
        <f>'СВОД смет'!A7:H7</f>
        <v>на 2020 год</v>
      </c>
      <c r="B4" s="1144"/>
      <c r="C4" s="1144"/>
      <c r="D4" s="1144"/>
      <c r="E4" s="1144"/>
      <c r="F4" s="1144"/>
      <c r="G4" s="1144"/>
      <c r="H4" s="1144"/>
      <c r="I4" s="1144"/>
      <c r="J4" s="204"/>
    </row>
    <row r="5" spans="1:15" ht="15" customHeight="1" x14ac:dyDescent="0.25">
      <c r="A5" s="159"/>
      <c r="B5" s="159"/>
      <c r="C5" s="159"/>
      <c r="D5" s="159"/>
      <c r="E5" s="159"/>
      <c r="F5" s="159"/>
      <c r="G5" s="159"/>
      <c r="H5" s="159"/>
      <c r="J5" s="204"/>
    </row>
    <row r="6" spans="1:15" ht="15.75" customHeight="1" x14ac:dyDescent="0.25">
      <c r="A6" s="1155" t="s">
        <v>385</v>
      </c>
      <c r="B6" s="1155"/>
      <c r="C6" s="1155"/>
      <c r="D6" s="1155"/>
      <c r="E6" s="1155"/>
      <c r="F6" s="1155"/>
      <c r="G6" s="1155"/>
      <c r="H6" s="158"/>
      <c r="J6" s="204"/>
    </row>
    <row r="7" spans="1:15" ht="25.5" customHeight="1" x14ac:dyDescent="0.25">
      <c r="A7" s="727" t="s">
        <v>258</v>
      </c>
      <c r="B7" s="733" t="s">
        <v>492</v>
      </c>
      <c r="C7" s="746" t="s">
        <v>343</v>
      </c>
      <c r="D7" s="727" t="s">
        <v>389</v>
      </c>
      <c r="E7" s="727" t="s">
        <v>418</v>
      </c>
      <c r="F7" s="746" t="s">
        <v>390</v>
      </c>
      <c r="G7" s="746" t="s">
        <v>419</v>
      </c>
      <c r="J7" s="204"/>
    </row>
    <row r="8" spans="1:15" x14ac:dyDescent="0.25">
      <c r="A8" s="732">
        <v>1</v>
      </c>
      <c r="B8" s="732">
        <v>2</v>
      </c>
      <c r="C8" s="732">
        <v>3</v>
      </c>
      <c r="D8" s="732">
        <v>4</v>
      </c>
      <c r="E8" s="732">
        <v>5</v>
      </c>
      <c r="F8" s="732">
        <v>6</v>
      </c>
      <c r="G8" s="732">
        <v>7</v>
      </c>
      <c r="I8" s="215"/>
      <c r="J8" s="204"/>
    </row>
    <row r="9" spans="1:15" ht="24" customHeight="1" x14ac:dyDescent="0.25">
      <c r="A9" s="728">
        <v>1</v>
      </c>
      <c r="B9" s="734" t="s">
        <v>566</v>
      </c>
      <c r="C9" s="731">
        <v>211</v>
      </c>
      <c r="D9" s="731"/>
      <c r="E9" s="731">
        <v>1</v>
      </c>
      <c r="F9" s="733" t="s">
        <v>786</v>
      </c>
      <c r="G9" s="217">
        <f>ROUND(1199340.24/1000,1)+0.1</f>
        <v>1199.3999999999999</v>
      </c>
      <c r="I9" s="209"/>
      <c r="J9" s="204"/>
    </row>
    <row r="10" spans="1:15" ht="24" customHeight="1" x14ac:dyDescent="0.25">
      <c r="A10" s="728">
        <v>2</v>
      </c>
      <c r="B10" s="734" t="s">
        <v>567</v>
      </c>
      <c r="C10" s="731">
        <v>211</v>
      </c>
      <c r="D10" s="731"/>
      <c r="E10" s="731">
        <v>8</v>
      </c>
      <c r="F10" s="733" t="s">
        <v>754</v>
      </c>
      <c r="G10" s="217">
        <f>ROUND(5310816/1000,1)</f>
        <v>5310.8</v>
      </c>
      <c r="J10" s="204"/>
      <c r="M10" s="224"/>
      <c r="N10" s="790"/>
      <c r="O10" s="790"/>
    </row>
    <row r="11" spans="1:15" x14ac:dyDescent="0.25">
      <c r="A11" s="1157" t="s">
        <v>392</v>
      </c>
      <c r="B11" s="1158"/>
      <c r="C11" s="1158"/>
      <c r="D11" s="1158"/>
      <c r="E11" s="1158"/>
      <c r="F11" s="797">
        <f>1199340.24+5310816</f>
        <v>6510156.2400000002</v>
      </c>
      <c r="G11" s="246">
        <f>G9+G10</f>
        <v>6510.2</v>
      </c>
      <c r="H11" s="582"/>
      <c r="I11" s="215"/>
      <c r="J11" s="204"/>
      <c r="M11" s="790"/>
      <c r="N11" s="790"/>
      <c r="O11" s="790"/>
    </row>
    <row r="12" spans="1:15" ht="18" customHeight="1" x14ac:dyDescent="0.25">
      <c r="G12" s="214"/>
      <c r="I12" s="204"/>
      <c r="J12" s="204"/>
      <c r="M12" s="204"/>
      <c r="N12" s="204"/>
      <c r="O12" s="204"/>
    </row>
    <row r="13" spans="1:15" ht="15" customHeight="1" x14ac:dyDescent="0.25">
      <c r="A13" s="1155" t="s">
        <v>662</v>
      </c>
      <c r="B13" s="1155"/>
      <c r="C13" s="1155"/>
      <c r="D13" s="1155"/>
      <c r="E13" s="1155"/>
      <c r="F13" s="1155"/>
      <c r="G13" s="1155"/>
      <c r="M13" s="204"/>
      <c r="N13" s="204"/>
      <c r="O13" s="204"/>
    </row>
    <row r="14" spans="1:15" ht="24" x14ac:dyDescent="0.25">
      <c r="A14" s="727" t="s">
        <v>258</v>
      </c>
      <c r="B14" s="733" t="s">
        <v>492</v>
      </c>
      <c r="C14" s="746" t="s">
        <v>343</v>
      </c>
      <c r="D14" s="727" t="s">
        <v>389</v>
      </c>
      <c r="E14" s="727" t="s">
        <v>417</v>
      </c>
      <c r="F14" s="746" t="s">
        <v>390</v>
      </c>
      <c r="G14" s="727" t="s">
        <v>395</v>
      </c>
      <c r="M14" s="204"/>
      <c r="N14" s="204"/>
      <c r="O14" s="204"/>
    </row>
    <row r="15" spans="1:15" x14ac:dyDescent="0.25">
      <c r="A15" s="728">
        <v>1</v>
      </c>
      <c r="B15" s="728">
        <v>2</v>
      </c>
      <c r="C15" s="728">
        <v>3</v>
      </c>
      <c r="D15" s="728">
        <v>4</v>
      </c>
      <c r="E15" s="728">
        <v>5</v>
      </c>
      <c r="F15" s="732">
        <v>6</v>
      </c>
      <c r="G15" s="728">
        <v>7</v>
      </c>
      <c r="M15" s="204"/>
      <c r="N15" s="204"/>
      <c r="O15" s="204"/>
    </row>
    <row r="16" spans="1:15" ht="24" customHeight="1" x14ac:dyDescent="0.25">
      <c r="A16" s="728">
        <v>1</v>
      </c>
      <c r="B16" s="734" t="s">
        <v>577</v>
      </c>
      <c r="C16" s="731">
        <v>213</v>
      </c>
      <c r="D16" s="731"/>
      <c r="E16" s="731">
        <f>E9</f>
        <v>1</v>
      </c>
      <c r="F16" s="733" t="s">
        <v>787</v>
      </c>
      <c r="G16" s="782">
        <f>K27</f>
        <v>353.89999999999992</v>
      </c>
      <c r="M16" s="791"/>
      <c r="N16" s="791"/>
      <c r="O16" s="792"/>
    </row>
    <row r="17" spans="1:17" ht="24" customHeight="1" x14ac:dyDescent="0.25">
      <c r="A17" s="728">
        <v>2</v>
      </c>
      <c r="B17" s="734" t="s">
        <v>578</v>
      </c>
      <c r="C17" s="731">
        <v>213</v>
      </c>
      <c r="D17" s="731"/>
      <c r="E17" s="731">
        <f>E10</f>
        <v>8</v>
      </c>
      <c r="F17" s="733" t="s">
        <v>789</v>
      </c>
      <c r="G17" s="783">
        <f>K34</f>
        <v>1588.9</v>
      </c>
    </row>
    <row r="18" spans="1:17" ht="15" customHeight="1" x14ac:dyDescent="0.25">
      <c r="A18" s="1146" t="s">
        <v>396</v>
      </c>
      <c r="B18" s="1147"/>
      <c r="C18" s="1147"/>
      <c r="D18" s="1147"/>
      <c r="E18" s="1147"/>
      <c r="F18" s="797">
        <f>353867.89+1588872.74</f>
        <v>1942740.63</v>
      </c>
      <c r="G18" s="784">
        <f>G17+G16</f>
        <v>1942.8</v>
      </c>
    </row>
    <row r="19" spans="1:17" ht="15" customHeight="1" thickBot="1" x14ac:dyDescent="0.3"/>
    <row r="20" spans="1:17" ht="25.5" x14ac:dyDescent="0.25">
      <c r="F20" s="205"/>
      <c r="G20" s="778" t="s">
        <v>386</v>
      </c>
      <c r="H20" s="778" t="s">
        <v>387</v>
      </c>
      <c r="I20" s="779" t="s">
        <v>388</v>
      </c>
      <c r="J20" s="780" t="s">
        <v>420</v>
      </c>
      <c r="K20" s="206"/>
      <c r="L20" s="1207" t="s">
        <v>752</v>
      </c>
      <c r="M20" s="1208"/>
      <c r="N20" s="1208"/>
    </row>
    <row r="21" spans="1:17" ht="15" customHeight="1" x14ac:dyDescent="0.25">
      <c r="F21" s="478"/>
      <c r="G21" s="485">
        <f>22%</f>
        <v>0.22</v>
      </c>
      <c r="H21" s="485">
        <v>5.0999999999999997E-2</v>
      </c>
      <c r="I21" s="485">
        <v>2.9000000000000001E-2</v>
      </c>
      <c r="J21" s="485">
        <v>2E-3</v>
      </c>
      <c r="K21" s="521"/>
      <c r="L21" s="1207"/>
      <c r="M21" s="1208"/>
      <c r="N21" s="1208"/>
    </row>
    <row r="22" spans="1:17" ht="15" customHeight="1" x14ac:dyDescent="0.25">
      <c r="F22" s="208" t="s">
        <v>550</v>
      </c>
      <c r="G22" s="480">
        <f>ROUND(1199340.24/1000,1)+0.1</f>
        <v>1199.3999999999999</v>
      </c>
      <c r="H22" s="480">
        <f>G9</f>
        <v>1199.3999999999999</v>
      </c>
      <c r="I22" s="482">
        <f>ROUND(912000/1000,1)</f>
        <v>912</v>
      </c>
      <c r="J22" s="480">
        <f>G9</f>
        <v>1199.3999999999999</v>
      </c>
      <c r="K22" s="521"/>
      <c r="L22" s="1203" t="s">
        <v>809</v>
      </c>
      <c r="M22" s="1204"/>
      <c r="N22" s="207">
        <v>1292000</v>
      </c>
    </row>
    <row r="23" spans="1:17" ht="15" customHeight="1" x14ac:dyDescent="0.25">
      <c r="F23" s="211" t="s">
        <v>551</v>
      </c>
      <c r="G23" s="479">
        <f>ROUND(G22*G21,1)</f>
        <v>263.89999999999998</v>
      </c>
      <c r="H23" s="479">
        <f>ROUND(H22*H21,1)</f>
        <v>61.2</v>
      </c>
      <c r="I23" s="479">
        <f>ROUND(I22*I21,1)</f>
        <v>26.4</v>
      </c>
      <c r="J23" s="479">
        <f>ROUND(J22*J21,1)</f>
        <v>2.4</v>
      </c>
      <c r="K23" s="522">
        <f>SUM(G23:J23)</f>
        <v>353.89999999999992</v>
      </c>
      <c r="L23" s="1203" t="s">
        <v>810</v>
      </c>
      <c r="M23" s="1204"/>
      <c r="N23" s="207">
        <v>912000</v>
      </c>
    </row>
    <row r="24" spans="1:17" ht="15" customHeight="1" x14ac:dyDescent="0.25">
      <c r="F24" s="478"/>
      <c r="G24" s="485">
        <v>0.1</v>
      </c>
      <c r="H24" s="486"/>
      <c r="I24" s="485">
        <v>0</v>
      </c>
      <c r="J24" s="486"/>
      <c r="K24" s="522"/>
    </row>
    <row r="25" spans="1:17" ht="15" customHeight="1" x14ac:dyDescent="0.25">
      <c r="F25" s="208" t="s">
        <v>550</v>
      </c>
      <c r="G25" s="480">
        <f>ROUND(G9-G22,1)</f>
        <v>0</v>
      </c>
      <c r="H25" s="480"/>
      <c r="I25" s="480"/>
      <c r="J25" s="480"/>
      <c r="K25" s="522"/>
    </row>
    <row r="26" spans="1:17" ht="15" customHeight="1" x14ac:dyDescent="0.25">
      <c r="F26" s="211" t="s">
        <v>551</v>
      </c>
      <c r="G26" s="479">
        <f>ROUND(G25*G24,1)</f>
        <v>0</v>
      </c>
      <c r="H26" s="479"/>
      <c r="I26" s="479"/>
      <c r="J26" s="479"/>
      <c r="K26" s="522">
        <f>SUM(G26:J26)</f>
        <v>0</v>
      </c>
    </row>
    <row r="27" spans="1:17" ht="15" customHeight="1" thickBot="1" x14ac:dyDescent="0.3">
      <c r="F27" s="1215" t="s">
        <v>249</v>
      </c>
      <c r="G27" s="1216"/>
      <c r="H27" s="1216"/>
      <c r="I27" s="1216"/>
      <c r="J27" s="1216"/>
      <c r="K27" s="523">
        <f>K23+K26</f>
        <v>353.89999999999992</v>
      </c>
    </row>
    <row r="28" spans="1:17" ht="15" customHeight="1" x14ac:dyDescent="0.25">
      <c r="F28" s="481"/>
      <c r="G28" s="487">
        <f>22%</f>
        <v>0.22</v>
      </c>
      <c r="H28" s="487">
        <v>5.0999999999999997E-2</v>
      </c>
      <c r="I28" s="487">
        <v>2.9000000000000001E-2</v>
      </c>
      <c r="J28" s="487">
        <v>2E-3</v>
      </c>
      <c r="K28" s="524"/>
      <c r="L28" s="1207" t="s">
        <v>753</v>
      </c>
      <c r="M28" s="1208"/>
      <c r="N28" s="1208"/>
      <c r="O28" s="1209" t="s">
        <v>568</v>
      </c>
      <c r="P28" s="1209"/>
      <c r="Q28" s="483">
        <v>476504</v>
      </c>
    </row>
    <row r="29" spans="1:17" ht="15" customHeight="1" x14ac:dyDescent="0.25">
      <c r="F29" s="208" t="s">
        <v>550</v>
      </c>
      <c r="G29" s="480">
        <f>ROUND((Q28+Q29+Q30+Q31+Q32+Q33+Q34+Q35)/1000,1)</f>
        <v>5310.8</v>
      </c>
      <c r="H29" s="480">
        <f>ROUND(Q36/1000,1)</f>
        <v>5310.8</v>
      </c>
      <c r="I29" s="480">
        <f>ROUND((Q28+Q29+Q30+N31+N31+Q33+N31+Q35)/1000,1)</f>
        <v>4812</v>
      </c>
      <c r="J29" s="480">
        <f>ROUND(Q36/1000,1)</f>
        <v>5310.8</v>
      </c>
      <c r="K29" s="522"/>
      <c r="L29" s="1207"/>
      <c r="M29" s="1208"/>
      <c r="N29" s="1208"/>
      <c r="O29" s="1209" t="s">
        <v>569</v>
      </c>
      <c r="P29" s="1209"/>
      <c r="Q29" s="483">
        <v>268128</v>
      </c>
    </row>
    <row r="30" spans="1:17" x14ac:dyDescent="0.25">
      <c r="F30" s="211" t="s">
        <v>551</v>
      </c>
      <c r="G30" s="480">
        <f>ROUND(G29*G28,1)</f>
        <v>1168.4000000000001</v>
      </c>
      <c r="H30" s="480">
        <f>ROUND(H29*H28,1)</f>
        <v>270.89999999999998</v>
      </c>
      <c r="I30" s="480">
        <f>ROUND(I29*I28,1)</f>
        <v>139.5</v>
      </c>
      <c r="J30" s="480">
        <f>ROUND(J29*J28,1)</f>
        <v>10.6</v>
      </c>
      <c r="K30" s="795">
        <f>SUM(G30:J30)-0.5</f>
        <v>1588.9</v>
      </c>
      <c r="L30" s="1211" t="s">
        <v>809</v>
      </c>
      <c r="M30" s="1203"/>
      <c r="N30" s="207">
        <v>1292000</v>
      </c>
      <c r="O30" s="1209" t="s">
        <v>570</v>
      </c>
      <c r="P30" s="1209"/>
      <c r="Q30" s="483">
        <v>111720</v>
      </c>
    </row>
    <row r="31" spans="1:17" x14ac:dyDescent="0.25">
      <c r="F31" s="478"/>
      <c r="G31" s="485">
        <v>0.1</v>
      </c>
      <c r="H31" s="486"/>
      <c r="I31" s="485">
        <v>0</v>
      </c>
      <c r="J31" s="486"/>
      <c r="K31" s="522"/>
      <c r="L31" s="1211" t="s">
        <v>810</v>
      </c>
      <c r="M31" s="1203"/>
      <c r="N31" s="207">
        <v>912000</v>
      </c>
      <c r="O31" s="1212" t="s">
        <v>571</v>
      </c>
      <c r="P31" s="1212"/>
      <c r="Q31" s="704">
        <v>1256864</v>
      </c>
    </row>
    <row r="32" spans="1:17" x14ac:dyDescent="0.25">
      <c r="F32" s="208" t="s">
        <v>550</v>
      </c>
      <c r="G32" s="480">
        <f>ROUND(Q36/1000-G29,1)</f>
        <v>0</v>
      </c>
      <c r="H32" s="480"/>
      <c r="I32" s="480">
        <f>ROUND(Q36/1000-I29,1)</f>
        <v>498.8</v>
      </c>
      <c r="J32" s="480"/>
      <c r="K32" s="522"/>
      <c r="O32" s="1209" t="s">
        <v>572</v>
      </c>
      <c r="P32" s="1209"/>
      <c r="Q32" s="655">
        <v>1084160</v>
      </c>
    </row>
    <row r="33" spans="1:18" x14ac:dyDescent="0.25">
      <c r="F33" s="211" t="s">
        <v>551</v>
      </c>
      <c r="G33" s="480">
        <f>ROUND(G32*G31,1)</f>
        <v>0</v>
      </c>
      <c r="H33" s="480"/>
      <c r="I33" s="480">
        <f>ROUND(I32*I31,1)</f>
        <v>0</v>
      </c>
      <c r="J33" s="480"/>
      <c r="K33" s="522">
        <f>SUM(G33:J33)</f>
        <v>0</v>
      </c>
      <c r="O33" s="1209" t="s">
        <v>573</v>
      </c>
      <c r="P33" s="1209"/>
      <c r="Q33" s="483">
        <v>813120</v>
      </c>
    </row>
    <row r="34" spans="1:18" ht="16.5" thickBot="1" x14ac:dyDescent="0.3">
      <c r="F34" s="1213" t="s">
        <v>249</v>
      </c>
      <c r="G34" s="1214"/>
      <c r="H34" s="1214"/>
      <c r="I34" s="1214"/>
      <c r="J34" s="1214"/>
      <c r="K34" s="525">
        <f>K30+K33</f>
        <v>1588.9</v>
      </c>
      <c r="O34" s="1209" t="s">
        <v>574</v>
      </c>
      <c r="P34" s="1209"/>
      <c r="Q34" s="483">
        <v>893760</v>
      </c>
    </row>
    <row r="35" spans="1:18" x14ac:dyDescent="0.25">
      <c r="O35" s="1210" t="s">
        <v>788</v>
      </c>
      <c r="P35" s="1209"/>
      <c r="Q35" s="483">
        <v>406560</v>
      </c>
    </row>
    <row r="36" spans="1:18" x14ac:dyDescent="0.25">
      <c r="A36" s="242"/>
      <c r="B36" s="242"/>
      <c r="C36" s="242"/>
      <c r="D36" s="242"/>
      <c r="E36" s="242"/>
      <c r="F36" s="241"/>
      <c r="O36" s="1206" t="s">
        <v>575</v>
      </c>
      <c r="P36" s="1206"/>
      <c r="Q36" s="484">
        <f>SUM(Q28:Q35)</f>
        <v>5310816</v>
      </c>
    </row>
    <row r="37" spans="1:18" x14ac:dyDescent="0.25">
      <c r="A37" s="242"/>
      <c r="B37" s="242"/>
      <c r="C37" s="242"/>
      <c r="D37" s="242"/>
      <c r="E37" s="242"/>
      <c r="F37" s="242"/>
      <c r="G37" s="241"/>
      <c r="P37" s="793"/>
      <c r="Q37" s="793"/>
      <c r="R37" s="794"/>
    </row>
    <row r="38" spans="1:18" x14ac:dyDescent="0.25">
      <c r="A38" s="1205" t="s">
        <v>465</v>
      </c>
      <c r="B38" s="1205"/>
      <c r="C38" s="1205"/>
      <c r="D38" s="1205"/>
      <c r="E38" s="1205"/>
      <c r="F38" s="1205"/>
      <c r="G38" s="1205"/>
    </row>
    <row r="39" spans="1:18" s="218" customFormat="1" ht="24" customHeight="1" x14ac:dyDescent="0.25">
      <c r="A39" s="727" t="s">
        <v>258</v>
      </c>
      <c r="B39" s="733" t="s">
        <v>492</v>
      </c>
      <c r="C39" s="746" t="s">
        <v>343</v>
      </c>
      <c r="D39" s="727" t="s">
        <v>389</v>
      </c>
      <c r="E39" s="727" t="s">
        <v>552</v>
      </c>
      <c r="F39" s="727" t="s">
        <v>553</v>
      </c>
      <c r="G39" s="727" t="s">
        <v>402</v>
      </c>
    </row>
    <row r="40" spans="1:18" x14ac:dyDescent="0.25">
      <c r="A40" s="220">
        <v>1</v>
      </c>
      <c r="B40" s="745">
        <v>2</v>
      </c>
      <c r="C40" s="221">
        <v>3</v>
      </c>
      <c r="D40" s="221">
        <v>4</v>
      </c>
      <c r="E40" s="221">
        <v>5</v>
      </c>
      <c r="F40" s="745">
        <v>6</v>
      </c>
      <c r="G40" s="221">
        <v>7</v>
      </c>
    </row>
    <row r="41" spans="1:18" ht="24" x14ac:dyDescent="0.25">
      <c r="A41" s="220">
        <v>1</v>
      </c>
      <c r="B41" s="743" t="s">
        <v>423</v>
      </c>
      <c r="C41" s="746">
        <v>214</v>
      </c>
      <c r="D41" s="746">
        <v>831</v>
      </c>
      <c r="E41" s="243" t="s">
        <v>899</v>
      </c>
      <c r="F41" s="744">
        <v>0</v>
      </c>
      <c r="G41" s="247">
        <f t="shared" ref="G41:G48" si="0">ROUND((F41/1000),1)</f>
        <v>0</v>
      </c>
    </row>
    <row r="42" spans="1:18" x14ac:dyDescent="0.25">
      <c r="A42" s="220">
        <v>2</v>
      </c>
      <c r="B42" s="743" t="s">
        <v>423</v>
      </c>
      <c r="C42" s="746">
        <v>214</v>
      </c>
      <c r="D42" s="746">
        <v>831</v>
      </c>
      <c r="E42" s="243" t="s">
        <v>424</v>
      </c>
      <c r="F42" s="744">
        <v>27000</v>
      </c>
      <c r="G42" s="247">
        <f t="shared" si="0"/>
        <v>27</v>
      </c>
    </row>
    <row r="43" spans="1:18" ht="24" x14ac:dyDescent="0.25">
      <c r="A43" s="220">
        <v>3</v>
      </c>
      <c r="B43" s="743" t="s">
        <v>423</v>
      </c>
      <c r="C43" s="746">
        <v>214</v>
      </c>
      <c r="D43" s="746">
        <v>831</v>
      </c>
      <c r="E43" s="243" t="s">
        <v>805</v>
      </c>
      <c r="F43" s="744">
        <v>83500</v>
      </c>
      <c r="G43" s="247">
        <f t="shared" si="0"/>
        <v>83.5</v>
      </c>
      <c r="H43" s="224"/>
    </row>
    <row r="44" spans="1:18" x14ac:dyDescent="0.25">
      <c r="A44" s="220">
        <v>4</v>
      </c>
      <c r="B44" s="743" t="s">
        <v>423</v>
      </c>
      <c r="C44" s="746">
        <v>214</v>
      </c>
      <c r="D44" s="746">
        <v>831</v>
      </c>
      <c r="E44" s="243" t="s">
        <v>900</v>
      </c>
      <c r="F44" s="744">
        <v>0</v>
      </c>
      <c r="G44" s="247">
        <f t="shared" si="0"/>
        <v>0</v>
      </c>
      <c r="H44" s="158"/>
    </row>
    <row r="45" spans="1:18" x14ac:dyDescent="0.25">
      <c r="A45" s="220">
        <v>5</v>
      </c>
      <c r="B45" s="743" t="s">
        <v>423</v>
      </c>
      <c r="C45" s="746">
        <v>214</v>
      </c>
      <c r="D45" s="746">
        <v>831</v>
      </c>
      <c r="E45" s="243" t="s">
        <v>901</v>
      </c>
      <c r="F45" s="744">
        <v>0</v>
      </c>
      <c r="G45" s="247">
        <f t="shared" si="0"/>
        <v>0</v>
      </c>
      <c r="H45" s="158"/>
    </row>
    <row r="46" spans="1:18" x14ac:dyDescent="0.25">
      <c r="A46" s="220">
        <v>6</v>
      </c>
      <c r="B46" s="743" t="s">
        <v>423</v>
      </c>
      <c r="C46" s="746">
        <v>214</v>
      </c>
      <c r="D46" s="746">
        <v>831</v>
      </c>
      <c r="E46" s="760" t="s">
        <v>466</v>
      </c>
      <c r="F46" s="737">
        <v>0</v>
      </c>
      <c r="G46" s="256">
        <f t="shared" si="0"/>
        <v>0</v>
      </c>
      <c r="H46" s="158"/>
    </row>
    <row r="47" spans="1:18" x14ac:dyDescent="0.25">
      <c r="A47" s="220">
        <v>7</v>
      </c>
      <c r="B47" s="747" t="s">
        <v>423</v>
      </c>
      <c r="C47" s="746">
        <v>214</v>
      </c>
      <c r="D47" s="746">
        <v>831</v>
      </c>
      <c r="E47" s="760" t="s">
        <v>931</v>
      </c>
      <c r="F47" s="1006">
        <f>18000+36700</f>
        <v>54700</v>
      </c>
      <c r="G47" s="256">
        <f t="shared" si="0"/>
        <v>54.7</v>
      </c>
      <c r="H47" s="1043">
        <v>36.700000000000003</v>
      </c>
      <c r="I47" s="225" t="s">
        <v>938</v>
      </c>
    </row>
    <row r="48" spans="1:18" x14ac:dyDescent="0.25">
      <c r="A48" s="220">
        <v>8</v>
      </c>
      <c r="B48" s="747" t="s">
        <v>423</v>
      </c>
      <c r="C48" s="746">
        <v>214</v>
      </c>
      <c r="D48" s="746">
        <v>831</v>
      </c>
      <c r="E48" s="760" t="s">
        <v>898</v>
      </c>
      <c r="F48" s="744">
        <v>0</v>
      </c>
      <c r="G48" s="256">
        <f t="shared" si="0"/>
        <v>0</v>
      </c>
      <c r="H48" s="158"/>
      <c r="I48" s="225"/>
    </row>
    <row r="49" spans="1:12" x14ac:dyDescent="0.25">
      <c r="A49" s="1186" t="s">
        <v>429</v>
      </c>
      <c r="B49" s="1187"/>
      <c r="C49" s="1187"/>
      <c r="D49" s="1187"/>
      <c r="E49" s="1187"/>
      <c r="F49" s="997">
        <f>SUM(F41:F48)</f>
        <v>165200</v>
      </c>
      <c r="G49" s="257">
        <f>SUM(G41:G48)</f>
        <v>165.2</v>
      </c>
      <c r="H49" s="998"/>
      <c r="I49" s="225"/>
    </row>
    <row r="50" spans="1:12" x14ac:dyDescent="0.25">
      <c r="G50" s="190"/>
      <c r="H50" s="158"/>
      <c r="I50" s="225"/>
    </row>
    <row r="51" spans="1:12" ht="15.75" customHeight="1" x14ac:dyDescent="0.25"/>
    <row r="52" spans="1:12" ht="15.75" customHeight="1" x14ac:dyDescent="0.25">
      <c r="A52" s="1145" t="s">
        <v>422</v>
      </c>
      <c r="B52" s="1145"/>
      <c r="C52" s="1145"/>
      <c r="D52" s="1145"/>
      <c r="E52" s="1145"/>
      <c r="F52" s="1145"/>
      <c r="G52" s="1145"/>
      <c r="H52" s="1145"/>
      <c r="I52" s="1145"/>
    </row>
    <row r="53" spans="1:12" ht="36" customHeight="1" x14ac:dyDescent="0.25">
      <c r="A53" s="727" t="s">
        <v>258</v>
      </c>
      <c r="B53" s="733" t="s">
        <v>492</v>
      </c>
      <c r="C53" s="746" t="s">
        <v>343</v>
      </c>
      <c r="D53" s="727" t="s">
        <v>389</v>
      </c>
      <c r="E53" s="727" t="s">
        <v>425</v>
      </c>
      <c r="F53" s="727" t="s">
        <v>426</v>
      </c>
      <c r="G53" s="727" t="s">
        <v>427</v>
      </c>
      <c r="H53" s="254" t="s">
        <v>467</v>
      </c>
      <c r="I53" s="727" t="s">
        <v>402</v>
      </c>
    </row>
    <row r="54" spans="1:12" ht="15.75" customHeight="1" x14ac:dyDescent="0.25">
      <c r="A54" s="220">
        <v>1</v>
      </c>
      <c r="B54" s="745">
        <v>2</v>
      </c>
      <c r="C54" s="221">
        <v>3</v>
      </c>
      <c r="D54" s="221">
        <v>4</v>
      </c>
      <c r="E54" s="221">
        <v>5</v>
      </c>
      <c r="F54" s="745">
        <v>6</v>
      </c>
      <c r="G54" s="221">
        <v>7</v>
      </c>
      <c r="H54" s="173">
        <v>8</v>
      </c>
      <c r="I54" s="741">
        <v>9</v>
      </c>
    </row>
    <row r="55" spans="1:12" ht="24" x14ac:dyDescent="0.25">
      <c r="A55" s="732">
        <v>1</v>
      </c>
      <c r="B55" s="748" t="s">
        <v>806</v>
      </c>
      <c r="C55" s="733">
        <v>212</v>
      </c>
      <c r="D55" s="731">
        <v>610</v>
      </c>
      <c r="E55" s="731">
        <v>4</v>
      </c>
      <c r="F55" s="995">
        <f>54+11</f>
        <v>65</v>
      </c>
      <c r="G55" s="430">
        <v>400</v>
      </c>
      <c r="H55" s="267">
        <f>F55*G55</f>
        <v>26000</v>
      </c>
      <c r="I55" s="989">
        <f>ROUND(H55/1000,1)</f>
        <v>26</v>
      </c>
      <c r="J55" s="520"/>
    </row>
    <row r="56" spans="1:12" ht="15.75" customHeight="1" x14ac:dyDescent="0.25">
      <c r="A56" s="1223" t="s">
        <v>428</v>
      </c>
      <c r="B56" s="1223"/>
      <c r="C56" s="1223"/>
      <c r="D56" s="1223"/>
      <c r="E56" s="1223"/>
      <c r="F56" s="1223"/>
      <c r="G56" s="1223"/>
      <c r="H56" s="770">
        <f>H55</f>
        <v>26000</v>
      </c>
      <c r="I56" s="248">
        <f>I55</f>
        <v>26</v>
      </c>
    </row>
    <row r="57" spans="1:12" s="218" customFormat="1" ht="15.75" customHeight="1" x14ac:dyDescent="0.25">
      <c r="A57" s="785"/>
      <c r="B57" s="785"/>
      <c r="C57" s="785"/>
      <c r="D57" s="785"/>
      <c r="E57" s="785"/>
      <c r="F57" s="785"/>
      <c r="G57" s="785"/>
      <c r="H57" s="787"/>
      <c r="I57" s="788"/>
    </row>
    <row r="59" spans="1:12" x14ac:dyDescent="0.25">
      <c r="A59" s="1222" t="s">
        <v>449</v>
      </c>
      <c r="B59" s="1222"/>
      <c r="C59" s="1222"/>
      <c r="D59" s="1222"/>
      <c r="E59" s="1222"/>
      <c r="F59" s="1222"/>
      <c r="G59" s="1222"/>
      <c r="H59" s="1222"/>
      <c r="I59" s="1222"/>
    </row>
    <row r="60" spans="1:12" ht="24" customHeight="1" x14ac:dyDescent="0.25">
      <c r="A60" s="727" t="s">
        <v>258</v>
      </c>
      <c r="B60" s="733" t="s">
        <v>492</v>
      </c>
      <c r="C60" s="746" t="s">
        <v>343</v>
      </c>
      <c r="D60" s="727" t="s">
        <v>389</v>
      </c>
      <c r="E60" s="727" t="s">
        <v>425</v>
      </c>
      <c r="F60" s="727" t="s">
        <v>426</v>
      </c>
      <c r="G60" s="727" t="s">
        <v>471</v>
      </c>
      <c r="H60" s="254" t="s">
        <v>467</v>
      </c>
      <c r="I60" s="727" t="s">
        <v>402</v>
      </c>
      <c r="L60" s="230"/>
    </row>
    <row r="61" spans="1:12" x14ac:dyDescent="0.25">
      <c r="A61" s="741">
        <v>1</v>
      </c>
      <c r="B61" s="751">
        <v>2</v>
      </c>
      <c r="C61" s="220">
        <v>3</v>
      </c>
      <c r="D61" s="741">
        <v>4</v>
      </c>
      <c r="E61" s="741">
        <v>5</v>
      </c>
      <c r="F61" s="751">
        <v>6</v>
      </c>
      <c r="G61" s="741">
        <v>7</v>
      </c>
      <c r="H61" s="270">
        <v>8</v>
      </c>
      <c r="I61" s="741">
        <v>9</v>
      </c>
      <c r="L61" s="230"/>
    </row>
    <row r="62" spans="1:12" ht="24.75" customHeight="1" x14ac:dyDescent="0.25">
      <c r="A62" s="728">
        <v>1</v>
      </c>
      <c r="B62" s="748" t="s">
        <v>807</v>
      </c>
      <c r="C62" s="727">
        <v>226</v>
      </c>
      <c r="D62" s="731">
        <v>620</v>
      </c>
      <c r="E62" s="731">
        <v>4</v>
      </c>
      <c r="F62" s="731">
        <v>54</v>
      </c>
      <c r="G62" s="232">
        <v>9990</v>
      </c>
      <c r="H62" s="988">
        <f>G62*2*2+G62*3*2-25700</f>
        <v>74200</v>
      </c>
      <c r="I62" s="217">
        <f>ROUND(H62/1000,1)</f>
        <v>74.2</v>
      </c>
      <c r="J62" s="520"/>
      <c r="L62" s="230"/>
    </row>
    <row r="63" spans="1:12" ht="24.75" customHeight="1" x14ac:dyDescent="0.25">
      <c r="A63" s="728">
        <v>2</v>
      </c>
      <c r="B63" s="753" t="s">
        <v>808</v>
      </c>
      <c r="C63" s="727">
        <v>226</v>
      </c>
      <c r="D63" s="731">
        <v>630</v>
      </c>
      <c r="E63" s="731">
        <v>4</v>
      </c>
      <c r="F63" s="731">
        <f>54</f>
        <v>54</v>
      </c>
      <c r="G63" s="271">
        <v>3750</v>
      </c>
      <c r="H63" s="996">
        <f>(G63*2*7)+(G63*1*14)+(G63*1*14)+(G63*1*7)-10050</f>
        <v>173700</v>
      </c>
      <c r="I63" s="217">
        <f>ROUND(H63/1000,1)</f>
        <v>173.7</v>
      </c>
      <c r="J63" s="520"/>
      <c r="L63" s="230"/>
    </row>
    <row r="64" spans="1:12" ht="13.5" customHeight="1" x14ac:dyDescent="0.25">
      <c r="A64" s="1219" t="s">
        <v>472</v>
      </c>
      <c r="B64" s="1220"/>
      <c r="C64" s="1220"/>
      <c r="D64" s="1220"/>
      <c r="E64" s="1220"/>
      <c r="F64" s="1220"/>
      <c r="G64" s="1221"/>
      <c r="H64" s="495">
        <f>SUM(H62:H63)</f>
        <v>247900</v>
      </c>
      <c r="I64" s="777">
        <f>SUM(I62:I63)</f>
        <v>247.89999999999998</v>
      </c>
      <c r="L64" s="230"/>
    </row>
    <row r="65" spans="1:12" x14ac:dyDescent="0.25">
      <c r="A65" s="1179" t="s">
        <v>409</v>
      </c>
      <c r="B65" s="1179"/>
      <c r="C65" s="1179"/>
      <c r="D65" s="1179"/>
      <c r="E65" s="1179"/>
      <c r="F65" s="1179"/>
      <c r="G65" s="1179"/>
      <c r="H65" s="796">
        <f>H64</f>
        <v>247900</v>
      </c>
      <c r="I65" s="284">
        <f>I64</f>
        <v>247.89999999999998</v>
      </c>
      <c r="L65" s="230"/>
    </row>
    <row r="67" spans="1:12" x14ac:dyDescent="0.25">
      <c r="A67" s="1155" t="s">
        <v>477</v>
      </c>
      <c r="B67" s="1155"/>
      <c r="C67" s="1155"/>
      <c r="D67" s="1155"/>
      <c r="E67" s="1155"/>
      <c r="F67" s="1155"/>
      <c r="G67" s="1155"/>
      <c r="H67" s="1155"/>
      <c r="I67" s="1155"/>
    </row>
    <row r="68" spans="1:12" ht="37.5" customHeight="1" x14ac:dyDescent="0.25">
      <c r="A68" s="727" t="s">
        <v>258</v>
      </c>
      <c r="B68" s="733" t="s">
        <v>492</v>
      </c>
      <c r="C68" s="746" t="s">
        <v>343</v>
      </c>
      <c r="D68" s="727" t="s">
        <v>389</v>
      </c>
      <c r="E68" s="727" t="s">
        <v>411</v>
      </c>
      <c r="F68" s="727" t="s">
        <v>479</v>
      </c>
      <c r="G68" s="727" t="s">
        <v>480</v>
      </c>
      <c r="H68" s="254" t="s">
        <v>467</v>
      </c>
      <c r="I68" s="727" t="s">
        <v>402</v>
      </c>
    </row>
    <row r="69" spans="1:12" x14ac:dyDescent="0.25">
      <c r="A69" s="728">
        <v>1</v>
      </c>
      <c r="B69" s="728">
        <v>2</v>
      </c>
      <c r="C69" s="728">
        <v>3</v>
      </c>
      <c r="D69" s="728">
        <v>4</v>
      </c>
      <c r="E69" s="728">
        <v>5</v>
      </c>
      <c r="F69" s="728">
        <v>6</v>
      </c>
      <c r="G69" s="728">
        <v>7</v>
      </c>
      <c r="H69" s="173">
        <v>8</v>
      </c>
      <c r="I69" s="728">
        <v>9</v>
      </c>
    </row>
    <row r="70" spans="1:12" ht="60" x14ac:dyDescent="0.25">
      <c r="A70" s="728">
        <v>1</v>
      </c>
      <c r="B70" s="750" t="s">
        <v>478</v>
      </c>
      <c r="C70" s="733">
        <v>266</v>
      </c>
      <c r="D70" s="233"/>
      <c r="E70" s="733">
        <v>1</v>
      </c>
      <c r="F70" s="729">
        <v>9000</v>
      </c>
      <c r="G70" s="727">
        <v>6</v>
      </c>
      <c r="H70" s="265">
        <f>E70*F70*G70-29811.9</f>
        <v>24188.1</v>
      </c>
      <c r="I70" s="247">
        <f>ROUND(H70/1000,1)</f>
        <v>24.2</v>
      </c>
      <c r="J70" s="1003">
        <v>-29.8</v>
      </c>
      <c r="K70" s="508" t="s">
        <v>940</v>
      </c>
    </row>
    <row r="71" spans="1:12" x14ac:dyDescent="0.25">
      <c r="A71" s="1217" t="s">
        <v>481</v>
      </c>
      <c r="B71" s="1218"/>
      <c r="C71" s="1218"/>
      <c r="D71" s="1218"/>
      <c r="E71" s="1218"/>
      <c r="F71" s="1218"/>
      <c r="G71" s="1218"/>
      <c r="H71" s="273">
        <f>H70</f>
        <v>24188.1</v>
      </c>
      <c r="I71" s="257">
        <f>I70</f>
        <v>24.2</v>
      </c>
      <c r="J71" s="583"/>
    </row>
    <row r="73" spans="1:12" x14ac:dyDescent="0.25">
      <c r="H73" s="227"/>
    </row>
    <row r="74" spans="1:12" x14ac:dyDescent="0.25">
      <c r="A74" s="1150" t="s">
        <v>397</v>
      </c>
      <c r="B74" s="1150"/>
      <c r="C74" s="168"/>
      <c r="D74" s="1151"/>
      <c r="E74" s="1151"/>
      <c r="F74" s="168"/>
      <c r="G74" s="1151" t="str">
        <f>рВДЛ!G32</f>
        <v>М.В. Златова</v>
      </c>
      <c r="H74" s="1151"/>
    </row>
    <row r="75" spans="1:12" x14ac:dyDescent="0.25">
      <c r="A75" s="1148" t="s">
        <v>329</v>
      </c>
      <c r="B75" s="1148"/>
      <c r="C75" s="169"/>
      <c r="D75" s="1149" t="s">
        <v>330</v>
      </c>
      <c r="E75" s="1149"/>
      <c r="F75" s="169"/>
      <c r="G75" s="1149" t="s">
        <v>331</v>
      </c>
      <c r="H75" s="1149"/>
    </row>
    <row r="76" spans="1:12" x14ac:dyDescent="0.25">
      <c r="A76" s="1150" t="str">
        <f>рВДЛ!A34</f>
        <v>Исполнитель: финансист</v>
      </c>
      <c r="B76" s="1150"/>
      <c r="C76" s="168"/>
      <c r="D76" s="1151"/>
      <c r="E76" s="1151"/>
      <c r="F76" s="168"/>
      <c r="G76" s="1151" t="str">
        <f>рВДЛ!G34</f>
        <v>Е.Н. Рыбалка</v>
      </c>
      <c r="H76" s="1151"/>
    </row>
    <row r="77" spans="1:12" x14ac:dyDescent="0.25">
      <c r="A77" s="1148" t="s">
        <v>329</v>
      </c>
      <c r="B77" s="1148"/>
      <c r="C77" s="169"/>
      <c r="D77" s="1149" t="s">
        <v>330</v>
      </c>
      <c r="E77" s="1149"/>
      <c r="F77" s="169"/>
      <c r="G77" s="1149" t="s">
        <v>331</v>
      </c>
      <c r="H77" s="1149"/>
    </row>
    <row r="81" spans="7:7" x14ac:dyDescent="0.25">
      <c r="G81" s="210"/>
    </row>
  </sheetData>
  <mergeCells count="45">
    <mergeCell ref="A76:B76"/>
    <mergeCell ref="D76:E76"/>
    <mergeCell ref="G76:H76"/>
    <mergeCell ref="A77:B77"/>
    <mergeCell ref="D77:E77"/>
    <mergeCell ref="G77:H77"/>
    <mergeCell ref="A74:B74"/>
    <mergeCell ref="D74:E74"/>
    <mergeCell ref="G74:H74"/>
    <mergeCell ref="A75:B75"/>
    <mergeCell ref="D75:E75"/>
    <mergeCell ref="G75:H75"/>
    <mergeCell ref="A71:G71"/>
    <mergeCell ref="A67:I67"/>
    <mergeCell ref="A65:G65"/>
    <mergeCell ref="A64:G64"/>
    <mergeCell ref="A49:E49"/>
    <mergeCell ref="A59:I59"/>
    <mergeCell ref="A56:G56"/>
    <mergeCell ref="A52:I52"/>
    <mergeCell ref="A38:G38"/>
    <mergeCell ref="O36:P36"/>
    <mergeCell ref="L20:N21"/>
    <mergeCell ref="O34:P34"/>
    <mergeCell ref="O35:P35"/>
    <mergeCell ref="L28:N29"/>
    <mergeCell ref="L30:M30"/>
    <mergeCell ref="O31:P31"/>
    <mergeCell ref="O32:P32"/>
    <mergeCell ref="O33:P33"/>
    <mergeCell ref="O29:P29"/>
    <mergeCell ref="O30:P30"/>
    <mergeCell ref="L31:M31"/>
    <mergeCell ref="F34:J34"/>
    <mergeCell ref="O28:P28"/>
    <mergeCell ref="F27:J27"/>
    <mergeCell ref="A1:I1"/>
    <mergeCell ref="L22:M22"/>
    <mergeCell ref="A3:I3"/>
    <mergeCell ref="L23:M23"/>
    <mergeCell ref="A4:I4"/>
    <mergeCell ref="A6:G6"/>
    <mergeCell ref="A11:E11"/>
    <mergeCell ref="A13:G13"/>
    <mergeCell ref="A18:E18"/>
  </mergeCells>
  <pageMargins left="0.7" right="0.7" top="0.75" bottom="0.75" header="0.3" footer="0.3"/>
  <pageSetup paperSize="9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topLeftCell="A43" workbookViewId="0">
      <selection activeCell="H40" sqref="H40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520" customWidth="1"/>
    <col min="10" max="252" width="9.140625" style="789"/>
    <col min="253" max="253" width="49.42578125" style="789" customWidth="1"/>
    <col min="254" max="255" width="3.5703125" style="789" customWidth="1"/>
    <col min="256" max="256" width="11.42578125" style="789" customWidth="1"/>
    <col min="257" max="259" width="5.7109375" style="789" customWidth="1"/>
    <col min="260" max="260" width="9" style="789" customWidth="1"/>
    <col min="261" max="261" width="18.7109375" style="789" customWidth="1"/>
    <col min="262" max="508" width="9.140625" style="789"/>
    <col min="509" max="509" width="49.42578125" style="789" customWidth="1"/>
    <col min="510" max="511" width="3.5703125" style="789" customWidth="1"/>
    <col min="512" max="512" width="11.42578125" style="789" customWidth="1"/>
    <col min="513" max="515" width="5.7109375" style="789" customWidth="1"/>
    <col min="516" max="516" width="9" style="789" customWidth="1"/>
    <col min="517" max="517" width="18.7109375" style="789" customWidth="1"/>
    <col min="518" max="764" width="9.140625" style="789"/>
    <col min="765" max="765" width="49.42578125" style="789" customWidth="1"/>
    <col min="766" max="767" width="3.5703125" style="789" customWidth="1"/>
    <col min="768" max="768" width="11.42578125" style="789" customWidth="1"/>
    <col min="769" max="771" width="5.7109375" style="789" customWidth="1"/>
    <col min="772" max="772" width="9" style="789" customWidth="1"/>
    <col min="773" max="773" width="18.7109375" style="789" customWidth="1"/>
    <col min="774" max="1020" width="9.140625" style="789"/>
    <col min="1021" max="1021" width="49.42578125" style="789" customWidth="1"/>
    <col min="1022" max="1023" width="3.5703125" style="789" customWidth="1"/>
    <col min="1024" max="1024" width="11.42578125" style="789" customWidth="1"/>
    <col min="1025" max="1027" width="5.7109375" style="789" customWidth="1"/>
    <col min="1028" max="1028" width="9" style="789" customWidth="1"/>
    <col min="1029" max="1029" width="18.7109375" style="789" customWidth="1"/>
    <col min="1030" max="1276" width="9.140625" style="789"/>
    <col min="1277" max="1277" width="49.42578125" style="789" customWidth="1"/>
    <col min="1278" max="1279" width="3.5703125" style="789" customWidth="1"/>
    <col min="1280" max="1280" width="11.42578125" style="789" customWidth="1"/>
    <col min="1281" max="1283" width="5.7109375" style="789" customWidth="1"/>
    <col min="1284" max="1284" width="9" style="789" customWidth="1"/>
    <col min="1285" max="1285" width="18.7109375" style="789" customWidth="1"/>
    <col min="1286" max="1532" width="9.140625" style="789"/>
    <col min="1533" max="1533" width="49.42578125" style="789" customWidth="1"/>
    <col min="1534" max="1535" width="3.5703125" style="789" customWidth="1"/>
    <col min="1536" max="1536" width="11.42578125" style="789" customWidth="1"/>
    <col min="1537" max="1539" width="5.7109375" style="789" customWidth="1"/>
    <col min="1540" max="1540" width="9" style="789" customWidth="1"/>
    <col min="1541" max="1541" width="18.7109375" style="789" customWidth="1"/>
    <col min="1542" max="1788" width="9.140625" style="789"/>
    <col min="1789" max="1789" width="49.42578125" style="789" customWidth="1"/>
    <col min="1790" max="1791" width="3.5703125" style="789" customWidth="1"/>
    <col min="1792" max="1792" width="11.42578125" style="789" customWidth="1"/>
    <col min="1793" max="1795" width="5.7109375" style="789" customWidth="1"/>
    <col min="1796" max="1796" width="9" style="789" customWidth="1"/>
    <col min="1797" max="1797" width="18.7109375" style="789" customWidth="1"/>
    <col min="1798" max="2044" width="9.140625" style="789"/>
    <col min="2045" max="2045" width="49.42578125" style="789" customWidth="1"/>
    <col min="2046" max="2047" width="3.5703125" style="789" customWidth="1"/>
    <col min="2048" max="2048" width="11.42578125" style="789" customWidth="1"/>
    <col min="2049" max="2051" width="5.7109375" style="789" customWidth="1"/>
    <col min="2052" max="2052" width="9" style="789" customWidth="1"/>
    <col min="2053" max="2053" width="18.7109375" style="789" customWidth="1"/>
    <col min="2054" max="2300" width="9.140625" style="789"/>
    <col min="2301" max="2301" width="49.42578125" style="789" customWidth="1"/>
    <col min="2302" max="2303" width="3.5703125" style="789" customWidth="1"/>
    <col min="2304" max="2304" width="11.42578125" style="789" customWidth="1"/>
    <col min="2305" max="2307" width="5.7109375" style="789" customWidth="1"/>
    <col min="2308" max="2308" width="9" style="789" customWidth="1"/>
    <col min="2309" max="2309" width="18.7109375" style="789" customWidth="1"/>
    <col min="2310" max="2556" width="9.140625" style="789"/>
    <col min="2557" max="2557" width="49.42578125" style="789" customWidth="1"/>
    <col min="2558" max="2559" width="3.5703125" style="789" customWidth="1"/>
    <col min="2560" max="2560" width="11.42578125" style="789" customWidth="1"/>
    <col min="2561" max="2563" width="5.7109375" style="789" customWidth="1"/>
    <col min="2564" max="2564" width="9" style="789" customWidth="1"/>
    <col min="2565" max="2565" width="18.7109375" style="789" customWidth="1"/>
    <col min="2566" max="2812" width="9.140625" style="789"/>
    <col min="2813" max="2813" width="49.42578125" style="789" customWidth="1"/>
    <col min="2814" max="2815" width="3.5703125" style="789" customWidth="1"/>
    <col min="2816" max="2816" width="11.42578125" style="789" customWidth="1"/>
    <col min="2817" max="2819" width="5.7109375" style="789" customWidth="1"/>
    <col min="2820" max="2820" width="9" style="789" customWidth="1"/>
    <col min="2821" max="2821" width="18.7109375" style="789" customWidth="1"/>
    <col min="2822" max="3068" width="9.140625" style="789"/>
    <col min="3069" max="3069" width="49.42578125" style="789" customWidth="1"/>
    <col min="3070" max="3071" width="3.5703125" style="789" customWidth="1"/>
    <col min="3072" max="3072" width="11.42578125" style="789" customWidth="1"/>
    <col min="3073" max="3075" width="5.7109375" style="789" customWidth="1"/>
    <col min="3076" max="3076" width="9" style="789" customWidth="1"/>
    <col min="3077" max="3077" width="18.7109375" style="789" customWidth="1"/>
    <col min="3078" max="3324" width="9.140625" style="789"/>
    <col min="3325" max="3325" width="49.42578125" style="789" customWidth="1"/>
    <col min="3326" max="3327" width="3.5703125" style="789" customWidth="1"/>
    <col min="3328" max="3328" width="11.42578125" style="789" customWidth="1"/>
    <col min="3329" max="3331" width="5.7109375" style="789" customWidth="1"/>
    <col min="3332" max="3332" width="9" style="789" customWidth="1"/>
    <col min="3333" max="3333" width="18.7109375" style="789" customWidth="1"/>
    <col min="3334" max="3580" width="9.140625" style="789"/>
    <col min="3581" max="3581" width="49.42578125" style="789" customWidth="1"/>
    <col min="3582" max="3583" width="3.5703125" style="789" customWidth="1"/>
    <col min="3584" max="3584" width="11.42578125" style="789" customWidth="1"/>
    <col min="3585" max="3587" width="5.7109375" style="789" customWidth="1"/>
    <col min="3588" max="3588" width="9" style="789" customWidth="1"/>
    <col min="3589" max="3589" width="18.7109375" style="789" customWidth="1"/>
    <col min="3590" max="3836" width="9.140625" style="789"/>
    <col min="3837" max="3837" width="49.42578125" style="789" customWidth="1"/>
    <col min="3838" max="3839" width="3.5703125" style="789" customWidth="1"/>
    <col min="3840" max="3840" width="11.42578125" style="789" customWidth="1"/>
    <col min="3841" max="3843" width="5.7109375" style="789" customWidth="1"/>
    <col min="3844" max="3844" width="9" style="789" customWidth="1"/>
    <col min="3845" max="3845" width="18.7109375" style="789" customWidth="1"/>
    <col min="3846" max="4092" width="9.140625" style="789"/>
    <col min="4093" max="4093" width="49.42578125" style="789" customWidth="1"/>
    <col min="4094" max="4095" width="3.5703125" style="789" customWidth="1"/>
    <col min="4096" max="4096" width="11.42578125" style="789" customWidth="1"/>
    <col min="4097" max="4099" width="5.7109375" style="789" customWidth="1"/>
    <col min="4100" max="4100" width="9" style="789" customWidth="1"/>
    <col min="4101" max="4101" width="18.7109375" style="789" customWidth="1"/>
    <col min="4102" max="4348" width="9.140625" style="789"/>
    <col min="4349" max="4349" width="49.42578125" style="789" customWidth="1"/>
    <col min="4350" max="4351" width="3.5703125" style="789" customWidth="1"/>
    <col min="4352" max="4352" width="11.42578125" style="789" customWidth="1"/>
    <col min="4353" max="4355" width="5.7109375" style="789" customWidth="1"/>
    <col min="4356" max="4356" width="9" style="789" customWidth="1"/>
    <col min="4357" max="4357" width="18.7109375" style="789" customWidth="1"/>
    <col min="4358" max="4604" width="9.140625" style="789"/>
    <col min="4605" max="4605" width="49.42578125" style="789" customWidth="1"/>
    <col min="4606" max="4607" width="3.5703125" style="789" customWidth="1"/>
    <col min="4608" max="4608" width="11.42578125" style="789" customWidth="1"/>
    <col min="4609" max="4611" width="5.7109375" style="789" customWidth="1"/>
    <col min="4612" max="4612" width="9" style="789" customWidth="1"/>
    <col min="4613" max="4613" width="18.7109375" style="789" customWidth="1"/>
    <col min="4614" max="4860" width="9.140625" style="789"/>
    <col min="4861" max="4861" width="49.42578125" style="789" customWidth="1"/>
    <col min="4862" max="4863" width="3.5703125" style="789" customWidth="1"/>
    <col min="4864" max="4864" width="11.42578125" style="789" customWidth="1"/>
    <col min="4865" max="4867" width="5.7109375" style="789" customWidth="1"/>
    <col min="4868" max="4868" width="9" style="789" customWidth="1"/>
    <col min="4869" max="4869" width="18.7109375" style="789" customWidth="1"/>
    <col min="4870" max="5116" width="9.140625" style="789"/>
    <col min="5117" max="5117" width="49.42578125" style="789" customWidth="1"/>
    <col min="5118" max="5119" width="3.5703125" style="789" customWidth="1"/>
    <col min="5120" max="5120" width="11.42578125" style="789" customWidth="1"/>
    <col min="5121" max="5123" width="5.7109375" style="789" customWidth="1"/>
    <col min="5124" max="5124" width="9" style="789" customWidth="1"/>
    <col min="5125" max="5125" width="18.7109375" style="789" customWidth="1"/>
    <col min="5126" max="5372" width="9.140625" style="789"/>
    <col min="5373" max="5373" width="49.42578125" style="789" customWidth="1"/>
    <col min="5374" max="5375" width="3.5703125" style="789" customWidth="1"/>
    <col min="5376" max="5376" width="11.42578125" style="789" customWidth="1"/>
    <col min="5377" max="5379" width="5.7109375" style="789" customWidth="1"/>
    <col min="5380" max="5380" width="9" style="789" customWidth="1"/>
    <col min="5381" max="5381" width="18.7109375" style="789" customWidth="1"/>
    <col min="5382" max="5628" width="9.140625" style="789"/>
    <col min="5629" max="5629" width="49.42578125" style="789" customWidth="1"/>
    <col min="5630" max="5631" width="3.5703125" style="789" customWidth="1"/>
    <col min="5632" max="5632" width="11.42578125" style="789" customWidth="1"/>
    <col min="5633" max="5635" width="5.7109375" style="789" customWidth="1"/>
    <col min="5636" max="5636" width="9" style="789" customWidth="1"/>
    <col min="5637" max="5637" width="18.7109375" style="789" customWidth="1"/>
    <col min="5638" max="5884" width="9.140625" style="789"/>
    <col min="5885" max="5885" width="49.42578125" style="789" customWidth="1"/>
    <col min="5886" max="5887" width="3.5703125" style="789" customWidth="1"/>
    <col min="5888" max="5888" width="11.42578125" style="789" customWidth="1"/>
    <col min="5889" max="5891" width="5.7109375" style="789" customWidth="1"/>
    <col min="5892" max="5892" width="9" style="789" customWidth="1"/>
    <col min="5893" max="5893" width="18.7109375" style="789" customWidth="1"/>
    <col min="5894" max="6140" width="9.140625" style="789"/>
    <col min="6141" max="6141" width="49.42578125" style="789" customWidth="1"/>
    <col min="6142" max="6143" width="3.5703125" style="789" customWidth="1"/>
    <col min="6144" max="6144" width="11.42578125" style="789" customWidth="1"/>
    <col min="6145" max="6147" width="5.7109375" style="789" customWidth="1"/>
    <col min="6148" max="6148" width="9" style="789" customWidth="1"/>
    <col min="6149" max="6149" width="18.7109375" style="789" customWidth="1"/>
    <col min="6150" max="6396" width="9.140625" style="789"/>
    <col min="6397" max="6397" width="49.42578125" style="789" customWidth="1"/>
    <col min="6398" max="6399" width="3.5703125" style="789" customWidth="1"/>
    <col min="6400" max="6400" width="11.42578125" style="789" customWidth="1"/>
    <col min="6401" max="6403" width="5.7109375" style="789" customWidth="1"/>
    <col min="6404" max="6404" width="9" style="789" customWidth="1"/>
    <col min="6405" max="6405" width="18.7109375" style="789" customWidth="1"/>
    <col min="6406" max="6652" width="9.140625" style="789"/>
    <col min="6653" max="6653" width="49.42578125" style="789" customWidth="1"/>
    <col min="6654" max="6655" width="3.5703125" style="789" customWidth="1"/>
    <col min="6656" max="6656" width="11.42578125" style="789" customWidth="1"/>
    <col min="6657" max="6659" width="5.7109375" style="789" customWidth="1"/>
    <col min="6660" max="6660" width="9" style="789" customWidth="1"/>
    <col min="6661" max="6661" width="18.7109375" style="789" customWidth="1"/>
    <col min="6662" max="6908" width="9.140625" style="789"/>
    <col min="6909" max="6909" width="49.42578125" style="789" customWidth="1"/>
    <col min="6910" max="6911" width="3.5703125" style="789" customWidth="1"/>
    <col min="6912" max="6912" width="11.42578125" style="789" customWidth="1"/>
    <col min="6913" max="6915" width="5.7109375" style="789" customWidth="1"/>
    <col min="6916" max="6916" width="9" style="789" customWidth="1"/>
    <col min="6917" max="6917" width="18.7109375" style="789" customWidth="1"/>
    <col min="6918" max="7164" width="9.140625" style="789"/>
    <col min="7165" max="7165" width="49.42578125" style="789" customWidth="1"/>
    <col min="7166" max="7167" width="3.5703125" style="789" customWidth="1"/>
    <col min="7168" max="7168" width="11.42578125" style="789" customWidth="1"/>
    <col min="7169" max="7171" width="5.7109375" style="789" customWidth="1"/>
    <col min="7172" max="7172" width="9" style="789" customWidth="1"/>
    <col min="7173" max="7173" width="18.7109375" style="789" customWidth="1"/>
    <col min="7174" max="7420" width="9.140625" style="789"/>
    <col min="7421" max="7421" width="49.42578125" style="789" customWidth="1"/>
    <col min="7422" max="7423" width="3.5703125" style="789" customWidth="1"/>
    <col min="7424" max="7424" width="11.42578125" style="789" customWidth="1"/>
    <col min="7425" max="7427" width="5.7109375" style="789" customWidth="1"/>
    <col min="7428" max="7428" width="9" style="789" customWidth="1"/>
    <col min="7429" max="7429" width="18.7109375" style="789" customWidth="1"/>
    <col min="7430" max="7676" width="9.140625" style="789"/>
    <col min="7677" max="7677" width="49.42578125" style="789" customWidth="1"/>
    <col min="7678" max="7679" width="3.5703125" style="789" customWidth="1"/>
    <col min="7680" max="7680" width="11.42578125" style="789" customWidth="1"/>
    <col min="7681" max="7683" width="5.7109375" style="789" customWidth="1"/>
    <col min="7684" max="7684" width="9" style="789" customWidth="1"/>
    <col min="7685" max="7685" width="18.7109375" style="789" customWidth="1"/>
    <col min="7686" max="7932" width="9.140625" style="789"/>
    <col min="7933" max="7933" width="49.42578125" style="789" customWidth="1"/>
    <col min="7934" max="7935" width="3.5703125" style="789" customWidth="1"/>
    <col min="7936" max="7936" width="11.42578125" style="789" customWidth="1"/>
    <col min="7937" max="7939" width="5.7109375" style="789" customWidth="1"/>
    <col min="7940" max="7940" width="9" style="789" customWidth="1"/>
    <col min="7941" max="7941" width="18.7109375" style="789" customWidth="1"/>
    <col min="7942" max="8188" width="9.140625" style="789"/>
    <col min="8189" max="8189" width="49.42578125" style="789" customWidth="1"/>
    <col min="8190" max="8191" width="3.5703125" style="789" customWidth="1"/>
    <col min="8192" max="8192" width="11.42578125" style="789" customWidth="1"/>
    <col min="8193" max="8195" width="5.7109375" style="789" customWidth="1"/>
    <col min="8196" max="8196" width="9" style="789" customWidth="1"/>
    <col min="8197" max="8197" width="18.7109375" style="789" customWidth="1"/>
    <col min="8198" max="8444" width="9.140625" style="789"/>
    <col min="8445" max="8445" width="49.42578125" style="789" customWidth="1"/>
    <col min="8446" max="8447" width="3.5703125" style="789" customWidth="1"/>
    <col min="8448" max="8448" width="11.42578125" style="789" customWidth="1"/>
    <col min="8449" max="8451" width="5.7109375" style="789" customWidth="1"/>
    <col min="8452" max="8452" width="9" style="789" customWidth="1"/>
    <col min="8453" max="8453" width="18.7109375" style="789" customWidth="1"/>
    <col min="8454" max="8700" width="9.140625" style="789"/>
    <col min="8701" max="8701" width="49.42578125" style="789" customWidth="1"/>
    <col min="8702" max="8703" width="3.5703125" style="789" customWidth="1"/>
    <col min="8704" max="8704" width="11.42578125" style="789" customWidth="1"/>
    <col min="8705" max="8707" width="5.7109375" style="789" customWidth="1"/>
    <col min="8708" max="8708" width="9" style="789" customWidth="1"/>
    <col min="8709" max="8709" width="18.7109375" style="789" customWidth="1"/>
    <col min="8710" max="8956" width="9.140625" style="789"/>
    <col min="8957" max="8957" width="49.42578125" style="789" customWidth="1"/>
    <col min="8958" max="8959" width="3.5703125" style="789" customWidth="1"/>
    <col min="8960" max="8960" width="11.42578125" style="789" customWidth="1"/>
    <col min="8961" max="8963" width="5.7109375" style="789" customWidth="1"/>
    <col min="8964" max="8964" width="9" style="789" customWidth="1"/>
    <col min="8965" max="8965" width="18.7109375" style="789" customWidth="1"/>
    <col min="8966" max="9212" width="9.140625" style="789"/>
    <col min="9213" max="9213" width="49.42578125" style="789" customWidth="1"/>
    <col min="9214" max="9215" width="3.5703125" style="789" customWidth="1"/>
    <col min="9216" max="9216" width="11.42578125" style="789" customWidth="1"/>
    <col min="9217" max="9219" width="5.7109375" style="789" customWidth="1"/>
    <col min="9220" max="9220" width="9" style="789" customWidth="1"/>
    <col min="9221" max="9221" width="18.7109375" style="789" customWidth="1"/>
    <col min="9222" max="9468" width="9.140625" style="789"/>
    <col min="9469" max="9469" width="49.42578125" style="789" customWidth="1"/>
    <col min="9470" max="9471" width="3.5703125" style="789" customWidth="1"/>
    <col min="9472" max="9472" width="11.42578125" style="789" customWidth="1"/>
    <col min="9473" max="9475" width="5.7109375" style="789" customWidth="1"/>
    <col min="9476" max="9476" width="9" style="789" customWidth="1"/>
    <col min="9477" max="9477" width="18.7109375" style="789" customWidth="1"/>
    <col min="9478" max="9724" width="9.140625" style="789"/>
    <col min="9725" max="9725" width="49.42578125" style="789" customWidth="1"/>
    <col min="9726" max="9727" width="3.5703125" style="789" customWidth="1"/>
    <col min="9728" max="9728" width="11.42578125" style="789" customWidth="1"/>
    <col min="9729" max="9731" width="5.7109375" style="789" customWidth="1"/>
    <col min="9732" max="9732" width="9" style="789" customWidth="1"/>
    <col min="9733" max="9733" width="18.7109375" style="789" customWidth="1"/>
    <col min="9734" max="9980" width="9.140625" style="789"/>
    <col min="9981" max="9981" width="49.42578125" style="789" customWidth="1"/>
    <col min="9982" max="9983" width="3.5703125" style="789" customWidth="1"/>
    <col min="9984" max="9984" width="11.42578125" style="789" customWidth="1"/>
    <col min="9985" max="9987" width="5.7109375" style="789" customWidth="1"/>
    <col min="9988" max="9988" width="9" style="789" customWidth="1"/>
    <col min="9989" max="9989" width="18.7109375" style="789" customWidth="1"/>
    <col min="9990" max="10236" width="9.140625" style="789"/>
    <col min="10237" max="10237" width="49.42578125" style="789" customWidth="1"/>
    <col min="10238" max="10239" width="3.5703125" style="789" customWidth="1"/>
    <col min="10240" max="10240" width="11.42578125" style="789" customWidth="1"/>
    <col min="10241" max="10243" width="5.7109375" style="789" customWidth="1"/>
    <col min="10244" max="10244" width="9" style="789" customWidth="1"/>
    <col min="10245" max="10245" width="18.7109375" style="789" customWidth="1"/>
    <col min="10246" max="10492" width="9.140625" style="789"/>
    <col min="10493" max="10493" width="49.42578125" style="789" customWidth="1"/>
    <col min="10494" max="10495" width="3.5703125" style="789" customWidth="1"/>
    <col min="10496" max="10496" width="11.42578125" style="789" customWidth="1"/>
    <col min="10497" max="10499" width="5.7109375" style="789" customWidth="1"/>
    <col min="10500" max="10500" width="9" style="789" customWidth="1"/>
    <col min="10501" max="10501" width="18.7109375" style="789" customWidth="1"/>
    <col min="10502" max="10748" width="9.140625" style="789"/>
    <col min="10749" max="10749" width="49.42578125" style="789" customWidth="1"/>
    <col min="10750" max="10751" width="3.5703125" style="789" customWidth="1"/>
    <col min="10752" max="10752" width="11.42578125" style="789" customWidth="1"/>
    <col min="10753" max="10755" width="5.7109375" style="789" customWidth="1"/>
    <col min="10756" max="10756" width="9" style="789" customWidth="1"/>
    <col min="10757" max="10757" width="18.7109375" style="789" customWidth="1"/>
    <col min="10758" max="11004" width="9.140625" style="789"/>
    <col min="11005" max="11005" width="49.42578125" style="789" customWidth="1"/>
    <col min="11006" max="11007" width="3.5703125" style="789" customWidth="1"/>
    <col min="11008" max="11008" width="11.42578125" style="789" customWidth="1"/>
    <col min="11009" max="11011" width="5.7109375" style="789" customWidth="1"/>
    <col min="11012" max="11012" width="9" style="789" customWidth="1"/>
    <col min="11013" max="11013" width="18.7109375" style="789" customWidth="1"/>
    <col min="11014" max="11260" width="9.140625" style="789"/>
    <col min="11261" max="11261" width="49.42578125" style="789" customWidth="1"/>
    <col min="11262" max="11263" width="3.5703125" style="789" customWidth="1"/>
    <col min="11264" max="11264" width="11.42578125" style="789" customWidth="1"/>
    <col min="11265" max="11267" width="5.7109375" style="789" customWidth="1"/>
    <col min="11268" max="11268" width="9" style="789" customWidth="1"/>
    <col min="11269" max="11269" width="18.7109375" style="789" customWidth="1"/>
    <col min="11270" max="11516" width="9.140625" style="789"/>
    <col min="11517" max="11517" width="49.42578125" style="789" customWidth="1"/>
    <col min="11518" max="11519" width="3.5703125" style="789" customWidth="1"/>
    <col min="11520" max="11520" width="11.42578125" style="789" customWidth="1"/>
    <col min="11521" max="11523" width="5.7109375" style="789" customWidth="1"/>
    <col min="11524" max="11524" width="9" style="789" customWidth="1"/>
    <col min="11525" max="11525" width="18.7109375" style="789" customWidth="1"/>
    <col min="11526" max="11772" width="9.140625" style="789"/>
    <col min="11773" max="11773" width="49.42578125" style="789" customWidth="1"/>
    <col min="11774" max="11775" width="3.5703125" style="789" customWidth="1"/>
    <col min="11776" max="11776" width="11.42578125" style="789" customWidth="1"/>
    <col min="11777" max="11779" width="5.7109375" style="789" customWidth="1"/>
    <col min="11780" max="11780" width="9" style="789" customWidth="1"/>
    <col min="11781" max="11781" width="18.7109375" style="789" customWidth="1"/>
    <col min="11782" max="12028" width="9.140625" style="789"/>
    <col min="12029" max="12029" width="49.42578125" style="789" customWidth="1"/>
    <col min="12030" max="12031" width="3.5703125" style="789" customWidth="1"/>
    <col min="12032" max="12032" width="11.42578125" style="789" customWidth="1"/>
    <col min="12033" max="12035" width="5.7109375" style="789" customWidth="1"/>
    <col min="12036" max="12036" width="9" style="789" customWidth="1"/>
    <col min="12037" max="12037" width="18.7109375" style="789" customWidth="1"/>
    <col min="12038" max="12284" width="9.140625" style="789"/>
    <col min="12285" max="12285" width="49.42578125" style="789" customWidth="1"/>
    <col min="12286" max="12287" width="3.5703125" style="789" customWidth="1"/>
    <col min="12288" max="12288" width="11.42578125" style="789" customWidth="1"/>
    <col min="12289" max="12291" width="5.7109375" style="789" customWidth="1"/>
    <col min="12292" max="12292" width="9" style="789" customWidth="1"/>
    <col min="12293" max="12293" width="18.7109375" style="789" customWidth="1"/>
    <col min="12294" max="12540" width="9.140625" style="789"/>
    <col min="12541" max="12541" width="49.42578125" style="789" customWidth="1"/>
    <col min="12542" max="12543" width="3.5703125" style="789" customWidth="1"/>
    <col min="12544" max="12544" width="11.42578125" style="789" customWidth="1"/>
    <col min="12545" max="12547" width="5.7109375" style="789" customWidth="1"/>
    <col min="12548" max="12548" width="9" style="789" customWidth="1"/>
    <col min="12549" max="12549" width="18.7109375" style="789" customWidth="1"/>
    <col min="12550" max="12796" width="9.140625" style="789"/>
    <col min="12797" max="12797" width="49.42578125" style="789" customWidth="1"/>
    <col min="12798" max="12799" width="3.5703125" style="789" customWidth="1"/>
    <col min="12800" max="12800" width="11.42578125" style="789" customWidth="1"/>
    <col min="12801" max="12803" width="5.7109375" style="789" customWidth="1"/>
    <col min="12804" max="12804" width="9" style="789" customWidth="1"/>
    <col min="12805" max="12805" width="18.7109375" style="789" customWidth="1"/>
    <col min="12806" max="13052" width="9.140625" style="789"/>
    <col min="13053" max="13053" width="49.42578125" style="789" customWidth="1"/>
    <col min="13054" max="13055" width="3.5703125" style="789" customWidth="1"/>
    <col min="13056" max="13056" width="11.42578125" style="789" customWidth="1"/>
    <col min="13057" max="13059" width="5.7109375" style="789" customWidth="1"/>
    <col min="13060" max="13060" width="9" style="789" customWidth="1"/>
    <col min="13061" max="13061" width="18.7109375" style="789" customWidth="1"/>
    <col min="13062" max="13308" width="9.140625" style="789"/>
    <col min="13309" max="13309" width="49.42578125" style="789" customWidth="1"/>
    <col min="13310" max="13311" width="3.5703125" style="789" customWidth="1"/>
    <col min="13312" max="13312" width="11.42578125" style="789" customWidth="1"/>
    <col min="13313" max="13315" width="5.7109375" style="789" customWidth="1"/>
    <col min="13316" max="13316" width="9" style="789" customWidth="1"/>
    <col min="13317" max="13317" width="18.7109375" style="789" customWidth="1"/>
    <col min="13318" max="13564" width="9.140625" style="789"/>
    <col min="13565" max="13565" width="49.42578125" style="789" customWidth="1"/>
    <col min="13566" max="13567" width="3.5703125" style="789" customWidth="1"/>
    <col min="13568" max="13568" width="11.42578125" style="789" customWidth="1"/>
    <col min="13569" max="13571" width="5.7109375" style="789" customWidth="1"/>
    <col min="13572" max="13572" width="9" style="789" customWidth="1"/>
    <col min="13573" max="13573" width="18.7109375" style="789" customWidth="1"/>
    <col min="13574" max="13820" width="9.140625" style="789"/>
    <col min="13821" max="13821" width="49.42578125" style="789" customWidth="1"/>
    <col min="13822" max="13823" width="3.5703125" style="789" customWidth="1"/>
    <col min="13824" max="13824" width="11.42578125" style="789" customWidth="1"/>
    <col min="13825" max="13827" width="5.7109375" style="789" customWidth="1"/>
    <col min="13828" max="13828" width="9" style="789" customWidth="1"/>
    <col min="13829" max="13829" width="18.7109375" style="789" customWidth="1"/>
    <col min="13830" max="14076" width="9.140625" style="789"/>
    <col min="14077" max="14077" width="49.42578125" style="789" customWidth="1"/>
    <col min="14078" max="14079" width="3.5703125" style="789" customWidth="1"/>
    <col min="14080" max="14080" width="11.42578125" style="789" customWidth="1"/>
    <col min="14081" max="14083" width="5.7109375" style="789" customWidth="1"/>
    <col min="14084" max="14084" width="9" style="789" customWidth="1"/>
    <col min="14085" max="14085" width="18.7109375" style="789" customWidth="1"/>
    <col min="14086" max="14332" width="9.140625" style="789"/>
    <col min="14333" max="14333" width="49.42578125" style="789" customWidth="1"/>
    <col min="14334" max="14335" width="3.5703125" style="789" customWidth="1"/>
    <col min="14336" max="14336" width="11.42578125" style="789" customWidth="1"/>
    <col min="14337" max="14339" width="5.7109375" style="789" customWidth="1"/>
    <col min="14340" max="14340" width="9" style="789" customWidth="1"/>
    <col min="14341" max="14341" width="18.7109375" style="789" customWidth="1"/>
    <col min="14342" max="14588" width="9.140625" style="789"/>
    <col min="14589" max="14589" width="49.42578125" style="789" customWidth="1"/>
    <col min="14590" max="14591" width="3.5703125" style="789" customWidth="1"/>
    <col min="14592" max="14592" width="11.42578125" style="789" customWidth="1"/>
    <col min="14593" max="14595" width="5.7109375" style="789" customWidth="1"/>
    <col min="14596" max="14596" width="9" style="789" customWidth="1"/>
    <col min="14597" max="14597" width="18.7109375" style="789" customWidth="1"/>
    <col min="14598" max="14844" width="9.140625" style="789"/>
    <col min="14845" max="14845" width="49.42578125" style="789" customWidth="1"/>
    <col min="14846" max="14847" width="3.5703125" style="789" customWidth="1"/>
    <col min="14848" max="14848" width="11.42578125" style="789" customWidth="1"/>
    <col min="14849" max="14851" width="5.7109375" style="789" customWidth="1"/>
    <col min="14852" max="14852" width="9" style="789" customWidth="1"/>
    <col min="14853" max="14853" width="18.7109375" style="789" customWidth="1"/>
    <col min="14854" max="15100" width="9.140625" style="789"/>
    <col min="15101" max="15101" width="49.42578125" style="789" customWidth="1"/>
    <col min="15102" max="15103" width="3.5703125" style="789" customWidth="1"/>
    <col min="15104" max="15104" width="11.42578125" style="789" customWidth="1"/>
    <col min="15105" max="15107" width="5.7109375" style="789" customWidth="1"/>
    <col min="15108" max="15108" width="9" style="789" customWidth="1"/>
    <col min="15109" max="15109" width="18.7109375" style="789" customWidth="1"/>
    <col min="15110" max="15356" width="9.140625" style="789"/>
    <col min="15357" max="15357" width="49.42578125" style="789" customWidth="1"/>
    <col min="15358" max="15359" width="3.5703125" style="789" customWidth="1"/>
    <col min="15360" max="15360" width="11.42578125" style="789" customWidth="1"/>
    <col min="15361" max="15363" width="5.7109375" style="789" customWidth="1"/>
    <col min="15364" max="15364" width="9" style="789" customWidth="1"/>
    <col min="15365" max="15365" width="18.7109375" style="789" customWidth="1"/>
    <col min="15366" max="15612" width="9.140625" style="789"/>
    <col min="15613" max="15613" width="49.42578125" style="789" customWidth="1"/>
    <col min="15614" max="15615" width="3.5703125" style="789" customWidth="1"/>
    <col min="15616" max="15616" width="11.42578125" style="789" customWidth="1"/>
    <col min="15617" max="15619" width="5.7109375" style="789" customWidth="1"/>
    <col min="15620" max="15620" width="9" style="789" customWidth="1"/>
    <col min="15621" max="15621" width="18.7109375" style="789" customWidth="1"/>
    <col min="15622" max="15868" width="9.140625" style="789"/>
    <col min="15869" max="15869" width="49.42578125" style="789" customWidth="1"/>
    <col min="15870" max="15871" width="3.5703125" style="789" customWidth="1"/>
    <col min="15872" max="15872" width="11.42578125" style="789" customWidth="1"/>
    <col min="15873" max="15875" width="5.7109375" style="789" customWidth="1"/>
    <col min="15876" max="15876" width="9" style="789" customWidth="1"/>
    <col min="15877" max="15877" width="18.7109375" style="789" customWidth="1"/>
    <col min="15878" max="16124" width="9.140625" style="789"/>
    <col min="16125" max="16125" width="49.42578125" style="789" customWidth="1"/>
    <col min="16126" max="16127" width="3.5703125" style="789" customWidth="1"/>
    <col min="16128" max="16128" width="11.42578125" style="789" customWidth="1"/>
    <col min="16129" max="16131" width="5.7109375" style="789" customWidth="1"/>
    <col min="16132" max="16132" width="9" style="789" customWidth="1"/>
    <col min="16133" max="16133" width="18.7109375" style="789" customWidth="1"/>
    <col min="16134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96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96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96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96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96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97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98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98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99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99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900"/>
    </row>
    <row r="12" spans="1:9" s="179" customFormat="1" ht="33.75" customHeight="1" x14ac:dyDescent="0.2">
      <c r="A12" s="1142" t="s">
        <v>127</v>
      </c>
      <c r="B12" s="1142"/>
      <c r="C12" s="1142"/>
      <c r="D12" s="1142"/>
      <c r="E12" s="1142"/>
      <c r="F12" s="1142"/>
      <c r="G12" s="1142"/>
      <c r="H12" s="1142"/>
      <c r="I12" s="901"/>
    </row>
    <row r="13" spans="1:9" s="179" customFormat="1" ht="6" customHeight="1" x14ac:dyDescent="0.2">
      <c r="E13" s="842"/>
      <c r="F13" s="842"/>
      <c r="G13" s="842"/>
      <c r="H13" s="842"/>
      <c r="I13" s="901"/>
    </row>
    <row r="14" spans="1:9" s="179" customFormat="1" ht="12.75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901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902"/>
    </row>
    <row r="16" spans="1:9" x14ac:dyDescent="0.25">
      <c r="A16" s="564" t="s">
        <v>640</v>
      </c>
      <c r="B16" s="581" t="s">
        <v>106</v>
      </c>
      <c r="C16" s="581" t="s">
        <v>128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1354.2000000000003</v>
      </c>
      <c r="I16" s="638"/>
    </row>
    <row r="17" spans="1:9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  <c r="I17" s="638"/>
    </row>
    <row r="18" spans="1:9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  <c r="I18" s="638"/>
    </row>
    <row r="19" spans="1:9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  <c r="I19" s="638"/>
    </row>
    <row r="20" spans="1:9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  <c r="I20" s="638"/>
    </row>
    <row r="21" spans="1:9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  <c r="I21" s="638"/>
    </row>
    <row r="22" spans="1:9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  <c r="I22" s="638"/>
    </row>
    <row r="23" spans="1:9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  <c r="I23" s="638"/>
    </row>
    <row r="24" spans="1:9" x14ac:dyDescent="0.25">
      <c r="A24" s="565" t="s">
        <v>645</v>
      </c>
      <c r="B24" s="846" t="s">
        <v>106</v>
      </c>
      <c r="C24" s="846" t="s">
        <v>128</v>
      </c>
      <c r="D24" s="846" t="s">
        <v>137</v>
      </c>
      <c r="E24" s="846" t="s">
        <v>345</v>
      </c>
      <c r="F24" s="558">
        <v>220</v>
      </c>
      <c r="G24" s="558"/>
      <c r="H24" s="847">
        <f>H25+H26+H28+H32+H36</f>
        <v>1189.2000000000003</v>
      </c>
      <c r="I24" s="638"/>
    </row>
    <row r="25" spans="1:9" x14ac:dyDescent="0.25">
      <c r="A25" s="566" t="s">
        <v>351</v>
      </c>
      <c r="B25" s="848" t="s">
        <v>106</v>
      </c>
      <c r="C25" s="848" t="s">
        <v>128</v>
      </c>
      <c r="D25" s="848" t="s">
        <v>137</v>
      </c>
      <c r="E25" s="848" t="s">
        <v>416</v>
      </c>
      <c r="F25" s="559">
        <v>221</v>
      </c>
      <c r="G25" s="559"/>
      <c r="H25" s="850">
        <f>рАУП!I15</f>
        <v>378.70000000000005</v>
      </c>
      <c r="I25" s="638"/>
    </row>
    <row r="26" spans="1:9" x14ac:dyDescent="0.25">
      <c r="A26" s="566" t="s">
        <v>646</v>
      </c>
      <c r="B26" s="848" t="s">
        <v>106</v>
      </c>
      <c r="C26" s="848" t="s">
        <v>128</v>
      </c>
      <c r="D26" s="848" t="s">
        <v>137</v>
      </c>
      <c r="E26" s="848" t="s">
        <v>416</v>
      </c>
      <c r="F26" s="559">
        <v>222</v>
      </c>
      <c r="G26" s="559"/>
      <c r="H26" s="850">
        <f>H27</f>
        <v>17.7</v>
      </c>
      <c r="I26" s="638"/>
    </row>
    <row r="27" spans="1:9" x14ac:dyDescent="0.25">
      <c r="A27" s="567" t="s">
        <v>352</v>
      </c>
      <c r="B27" s="852" t="s">
        <v>106</v>
      </c>
      <c r="C27" s="852" t="s">
        <v>128</v>
      </c>
      <c r="D27" s="852" t="s">
        <v>137</v>
      </c>
      <c r="E27" s="852" t="s">
        <v>416</v>
      </c>
      <c r="F27" s="560">
        <v>222</v>
      </c>
      <c r="G27" s="560">
        <v>500</v>
      </c>
      <c r="H27" s="281">
        <f>рАУП!H21</f>
        <v>17.7</v>
      </c>
      <c r="I27" s="638"/>
    </row>
    <row r="28" spans="1:9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  <c r="I28" s="638"/>
    </row>
    <row r="29" spans="1:9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  <c r="I29" s="638"/>
    </row>
    <row r="30" spans="1:9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  <c r="I30" s="638"/>
    </row>
    <row r="31" spans="1:9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  <c r="I31" s="638"/>
    </row>
    <row r="32" spans="1:9" x14ac:dyDescent="0.25">
      <c r="A32" s="566" t="s">
        <v>647</v>
      </c>
      <c r="B32" s="848" t="s">
        <v>106</v>
      </c>
      <c r="C32" s="848" t="s">
        <v>128</v>
      </c>
      <c r="D32" s="848" t="s">
        <v>137</v>
      </c>
      <c r="E32" s="848" t="s">
        <v>416</v>
      </c>
      <c r="F32" s="559">
        <v>225</v>
      </c>
      <c r="G32" s="559"/>
      <c r="H32" s="850">
        <f>SUM(H33:H35)</f>
        <v>44.6</v>
      </c>
      <c r="I32" s="638"/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>
        <f>рАУП!I27</f>
        <v>0</v>
      </c>
      <c r="I33" s="638"/>
    </row>
    <row r="34" spans="1:9" ht="24" x14ac:dyDescent="0.25">
      <c r="A34" s="567" t="s">
        <v>648</v>
      </c>
      <c r="B34" s="852" t="s">
        <v>106</v>
      </c>
      <c r="C34" s="852" t="s">
        <v>128</v>
      </c>
      <c r="D34" s="852" t="s">
        <v>137</v>
      </c>
      <c r="E34" s="852" t="s">
        <v>416</v>
      </c>
      <c r="F34" s="560">
        <v>225</v>
      </c>
      <c r="G34" s="560" t="s">
        <v>358</v>
      </c>
      <c r="H34" s="281">
        <f>рАУП!I34</f>
        <v>44.6</v>
      </c>
      <c r="I34" s="638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  <c r="I35" s="638"/>
    </row>
    <row r="36" spans="1:9" x14ac:dyDescent="0.25">
      <c r="A36" s="566" t="s">
        <v>562</v>
      </c>
      <c r="B36" s="848" t="s">
        <v>106</v>
      </c>
      <c r="C36" s="848" t="s">
        <v>128</v>
      </c>
      <c r="D36" s="848" t="s">
        <v>137</v>
      </c>
      <c r="E36" s="848" t="s">
        <v>345</v>
      </c>
      <c r="F36" s="559" t="s">
        <v>350</v>
      </c>
      <c r="G36" s="559"/>
      <c r="H36" s="850">
        <f>SUM(H37:H43)</f>
        <v>748.20000000000016</v>
      </c>
      <c r="I36" s="638"/>
    </row>
    <row r="37" spans="1:9" x14ac:dyDescent="0.25">
      <c r="A37" s="567" t="s">
        <v>359</v>
      </c>
      <c r="B37" s="852" t="s">
        <v>106</v>
      </c>
      <c r="C37" s="852" t="s">
        <v>128</v>
      </c>
      <c r="D37" s="852" t="s">
        <v>137</v>
      </c>
      <c r="E37" s="852" t="s">
        <v>416</v>
      </c>
      <c r="F37" s="560">
        <v>226</v>
      </c>
      <c r="G37" s="560" t="s">
        <v>360</v>
      </c>
      <c r="H37" s="281">
        <f>рАУП!I41</f>
        <v>20.100000000000001</v>
      </c>
      <c r="I37" s="638"/>
    </row>
    <row r="38" spans="1:9" x14ac:dyDescent="0.25">
      <c r="A38" s="567" t="s">
        <v>361</v>
      </c>
      <c r="B38" s="852" t="s">
        <v>106</v>
      </c>
      <c r="C38" s="852" t="s">
        <v>128</v>
      </c>
      <c r="D38" s="852" t="s">
        <v>137</v>
      </c>
      <c r="E38" s="852" t="s">
        <v>416</v>
      </c>
      <c r="F38" s="560">
        <v>226</v>
      </c>
      <c r="G38" s="560" t="s">
        <v>362</v>
      </c>
      <c r="H38" s="281">
        <f>рАУП!I57</f>
        <v>708.00000000000011</v>
      </c>
      <c r="I38" s="890"/>
    </row>
    <row r="39" spans="1:9" ht="24" x14ac:dyDescent="0.25">
      <c r="A39" s="567" t="s">
        <v>650</v>
      </c>
      <c r="B39" s="852" t="s">
        <v>106</v>
      </c>
      <c r="C39" s="852" t="s">
        <v>128</v>
      </c>
      <c r="D39" s="852" t="s">
        <v>137</v>
      </c>
      <c r="E39" s="852" t="s">
        <v>416</v>
      </c>
      <c r="F39" s="560">
        <v>226</v>
      </c>
      <c r="G39" s="560" t="s">
        <v>363</v>
      </c>
      <c r="H39" s="281">
        <f>рАУП!I64</f>
        <v>14.100000000000001</v>
      </c>
      <c r="I39" s="638"/>
    </row>
    <row r="40" spans="1:9" x14ac:dyDescent="0.25">
      <c r="A40" s="567" t="s">
        <v>348</v>
      </c>
      <c r="B40" s="852"/>
      <c r="C40" s="852"/>
      <c r="D40" s="852"/>
      <c r="E40" s="853"/>
      <c r="F40" s="560">
        <v>226</v>
      </c>
      <c r="G40" s="560">
        <v>620</v>
      </c>
      <c r="H40" s="281"/>
      <c r="I40" s="638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  <c r="I41" s="638"/>
    </row>
    <row r="42" spans="1:9" x14ac:dyDescent="0.25">
      <c r="A42" s="567" t="s">
        <v>697</v>
      </c>
      <c r="B42" s="852" t="s">
        <v>106</v>
      </c>
      <c r="C42" s="852" t="s">
        <v>128</v>
      </c>
      <c r="D42" s="852" t="s">
        <v>137</v>
      </c>
      <c r="E42" s="852" t="s">
        <v>416</v>
      </c>
      <c r="F42" s="560">
        <v>226</v>
      </c>
      <c r="G42" s="560">
        <v>843</v>
      </c>
      <c r="H42" s="281">
        <f>рАУП!I68</f>
        <v>0</v>
      </c>
      <c r="I42" s="638"/>
    </row>
    <row r="43" spans="1:9" x14ac:dyDescent="0.25">
      <c r="A43" s="734" t="s">
        <v>371</v>
      </c>
      <c r="B43" s="860" t="s">
        <v>106</v>
      </c>
      <c r="C43" s="860" t="s">
        <v>128</v>
      </c>
      <c r="D43" s="860" t="s">
        <v>137</v>
      </c>
      <c r="E43" s="860" t="s">
        <v>416</v>
      </c>
      <c r="F43" s="561">
        <v>226</v>
      </c>
      <c r="G43" s="561">
        <v>845</v>
      </c>
      <c r="H43" s="855">
        <f>рАУП!I72</f>
        <v>6</v>
      </c>
      <c r="I43" s="638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  <c r="I44" s="638"/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  <c r="I45" s="638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  <c r="I46" s="638"/>
    </row>
    <row r="47" spans="1:9" x14ac:dyDescent="0.25">
      <c r="A47" s="566" t="s">
        <v>652</v>
      </c>
      <c r="B47" s="854"/>
      <c r="C47" s="854"/>
      <c r="D47" s="854"/>
      <c r="E47" s="854"/>
      <c r="F47" s="559">
        <v>251</v>
      </c>
      <c r="G47" s="559"/>
      <c r="H47" s="580"/>
      <c r="I47" s="638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  <c r="I48" s="638"/>
    </row>
    <row r="49" spans="1:9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  <c r="I49" s="638"/>
    </row>
    <row r="50" spans="1:9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  <c r="I50" s="638"/>
    </row>
    <row r="51" spans="1:9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  <c r="I51" s="638"/>
    </row>
    <row r="52" spans="1:9" x14ac:dyDescent="0.25">
      <c r="A52" s="565" t="s">
        <v>369</v>
      </c>
      <c r="B52" s="857" t="s">
        <v>106</v>
      </c>
      <c r="C52" s="857" t="s">
        <v>128</v>
      </c>
      <c r="D52" s="857" t="s">
        <v>137</v>
      </c>
      <c r="E52" s="857" t="s">
        <v>345</v>
      </c>
      <c r="F52" s="558" t="s">
        <v>370</v>
      </c>
      <c r="G52" s="558"/>
      <c r="H52" s="858">
        <f>SUM(H53:H58)</f>
        <v>165</v>
      </c>
      <c r="I52" s="638"/>
    </row>
    <row r="53" spans="1:9" x14ac:dyDescent="0.25">
      <c r="A53" s="568" t="s">
        <v>379</v>
      </c>
      <c r="B53" s="581" t="s">
        <v>106</v>
      </c>
      <c r="C53" s="581" t="s">
        <v>128</v>
      </c>
      <c r="D53" s="581" t="s">
        <v>137</v>
      </c>
      <c r="E53" s="581" t="s">
        <v>486</v>
      </c>
      <c r="F53" s="562">
        <v>291</v>
      </c>
      <c r="G53" s="562"/>
      <c r="H53" s="580">
        <f>рАУП!I100</f>
        <v>165</v>
      </c>
      <c r="I53" s="638"/>
    </row>
    <row r="54" spans="1:9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  <c r="I54" s="638"/>
    </row>
    <row r="55" spans="1:9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  <c r="I55" s="638"/>
    </row>
    <row r="56" spans="1:9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9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  <c r="I57" s="638"/>
    </row>
    <row r="58" spans="1:9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  <c r="I58" s="638"/>
    </row>
    <row r="59" spans="1:9" x14ac:dyDescent="0.25">
      <c r="A59" s="565" t="s">
        <v>656</v>
      </c>
      <c r="B59" s="857" t="s">
        <v>106</v>
      </c>
      <c r="C59" s="857" t="s">
        <v>128</v>
      </c>
      <c r="D59" s="857" t="s">
        <v>137</v>
      </c>
      <c r="E59" s="857"/>
      <c r="F59" s="558" t="s">
        <v>205</v>
      </c>
      <c r="G59" s="558"/>
      <c r="H59" s="858">
        <f>H60+H62+H63+H64</f>
        <v>140.60000000000002</v>
      </c>
      <c r="I59" s="638"/>
    </row>
    <row r="60" spans="1:9" x14ac:dyDescent="0.25">
      <c r="A60" s="566" t="s">
        <v>372</v>
      </c>
      <c r="B60" s="581" t="s">
        <v>106</v>
      </c>
      <c r="C60" s="581" t="s">
        <v>128</v>
      </c>
      <c r="D60" s="581" t="s">
        <v>137</v>
      </c>
      <c r="E60" s="581" t="s">
        <v>416</v>
      </c>
      <c r="F60" s="563" t="s">
        <v>373</v>
      </c>
      <c r="G60" s="563"/>
      <c r="H60" s="580">
        <f>H61</f>
        <v>52.7</v>
      </c>
      <c r="I60" s="638"/>
    </row>
    <row r="61" spans="1:9" x14ac:dyDescent="0.25">
      <c r="A61" s="567" t="s">
        <v>374</v>
      </c>
      <c r="B61" s="852" t="s">
        <v>106</v>
      </c>
      <c r="C61" s="852" t="s">
        <v>128</v>
      </c>
      <c r="D61" s="852" t="s">
        <v>137</v>
      </c>
      <c r="E61" s="852" t="s">
        <v>416</v>
      </c>
      <c r="F61" s="560">
        <v>310</v>
      </c>
      <c r="G61" s="560" t="s">
        <v>375</v>
      </c>
      <c r="H61" s="281">
        <f>рАУП!H82</f>
        <v>52.7</v>
      </c>
      <c r="I61" s="638"/>
    </row>
    <row r="62" spans="1:9" x14ac:dyDescent="0.25">
      <c r="A62" s="569" t="s">
        <v>657</v>
      </c>
      <c r="B62" s="848" t="s">
        <v>106</v>
      </c>
      <c r="C62" s="848" t="s">
        <v>128</v>
      </c>
      <c r="D62" s="848" t="s">
        <v>137</v>
      </c>
      <c r="E62" s="848" t="s">
        <v>416</v>
      </c>
      <c r="F62" s="563">
        <v>343</v>
      </c>
      <c r="G62" s="563"/>
      <c r="H62" s="850">
        <f>рАУП!H89</f>
        <v>28.6</v>
      </c>
      <c r="I62" s="638"/>
    </row>
    <row r="63" spans="1:9" ht="24" x14ac:dyDescent="0.25">
      <c r="A63" s="569" t="s">
        <v>658</v>
      </c>
      <c r="B63" s="848" t="s">
        <v>106</v>
      </c>
      <c r="C63" s="848" t="s">
        <v>128</v>
      </c>
      <c r="D63" s="848" t="s">
        <v>137</v>
      </c>
      <c r="E63" s="848" t="s">
        <v>416</v>
      </c>
      <c r="F63" s="563">
        <v>346</v>
      </c>
      <c r="G63" s="563"/>
      <c r="H63" s="850">
        <f>рАУП!H95</f>
        <v>59.3</v>
      </c>
      <c r="I63" s="638"/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  <c r="I64" s="638"/>
    </row>
    <row r="65" spans="1:9" x14ac:dyDescent="0.25">
      <c r="A65" s="569" t="s">
        <v>487</v>
      </c>
      <c r="B65" s="848" t="s">
        <v>106</v>
      </c>
      <c r="C65" s="848" t="s">
        <v>128</v>
      </c>
      <c r="D65" s="848" t="s">
        <v>137</v>
      </c>
      <c r="E65" s="848" t="s">
        <v>126</v>
      </c>
      <c r="F65" s="563"/>
      <c r="G65" s="563"/>
      <c r="H65" s="850">
        <f>H25+H27+H34+H37+H38+H39+H42+H43+H61+H62+H63</f>
        <v>1329.8</v>
      </c>
      <c r="I65" s="638"/>
    </row>
    <row r="66" spans="1:9" x14ac:dyDescent="0.25">
      <c r="A66" s="569" t="s">
        <v>487</v>
      </c>
      <c r="B66" s="848" t="s">
        <v>106</v>
      </c>
      <c r="C66" s="848" t="s">
        <v>128</v>
      </c>
      <c r="D66" s="848" t="s">
        <v>137</v>
      </c>
      <c r="E66" s="848" t="s">
        <v>139</v>
      </c>
      <c r="F66" s="563"/>
      <c r="G66" s="563"/>
      <c r="H66" s="850">
        <f>H53</f>
        <v>165</v>
      </c>
      <c r="I66" s="638"/>
    </row>
    <row r="67" spans="1:9" x14ac:dyDescent="0.25">
      <c r="A67" s="571" t="s">
        <v>377</v>
      </c>
      <c r="B67" s="848" t="s">
        <v>106</v>
      </c>
      <c r="C67" s="848" t="s">
        <v>128</v>
      </c>
      <c r="D67" s="848" t="s">
        <v>485</v>
      </c>
      <c r="E67" s="848" t="s">
        <v>345</v>
      </c>
      <c r="F67" s="570"/>
      <c r="G67" s="570"/>
      <c r="H67" s="850">
        <f>H59+H16</f>
        <v>1494.8000000000002</v>
      </c>
      <c r="I67" s="638"/>
    </row>
    <row r="68" spans="1:9" x14ac:dyDescent="0.25">
      <c r="A68" s="862"/>
      <c r="B68" s="863"/>
      <c r="C68" s="863"/>
      <c r="D68" s="863"/>
      <c r="E68" s="863"/>
      <c r="F68" s="863"/>
      <c r="G68" s="863"/>
      <c r="H68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L109"/>
  <sheetViews>
    <sheetView topLeftCell="A70" workbookViewId="0">
      <selection activeCell="I61" sqref="I61"/>
    </sheetView>
  </sheetViews>
  <sheetFormatPr defaultRowHeight="15" x14ac:dyDescent="0.25"/>
  <cols>
    <col min="1" max="1" width="4.28515625" style="203" customWidth="1"/>
    <col min="2" max="2" width="31.42578125" style="203" customWidth="1"/>
    <col min="3" max="4" width="6.7109375" style="203" customWidth="1"/>
    <col min="5" max="5" width="10.5703125" style="203" customWidth="1"/>
    <col min="6" max="6" width="12.7109375" style="203" customWidth="1"/>
    <col min="7" max="7" width="11.7109375" style="203" customWidth="1"/>
    <col min="8" max="8" width="10.5703125" style="203" customWidth="1"/>
    <col min="9" max="9" width="10.140625" style="203" bestFit="1" customWidth="1"/>
    <col min="10" max="10" width="9.42578125" style="203" bestFit="1" customWidth="1"/>
    <col min="11" max="11" width="12.85546875" style="203" bestFit="1" customWidth="1"/>
    <col min="12" max="245" width="9.140625" style="203"/>
    <col min="246" max="246" width="4.28515625" style="203" customWidth="1"/>
    <col min="247" max="247" width="10.5703125" style="203" customWidth="1"/>
    <col min="248" max="248" width="12" style="203" customWidth="1"/>
    <col min="249" max="249" width="8.7109375" style="203" customWidth="1"/>
    <col min="250" max="250" width="7.28515625" style="203" customWidth="1"/>
    <col min="251" max="251" width="14.42578125" style="203" customWidth="1"/>
    <col min="252" max="252" width="7.140625" style="203" customWidth="1"/>
    <col min="253" max="253" width="7" style="203" customWidth="1"/>
    <col min="254" max="254" width="11.7109375" style="203" customWidth="1"/>
    <col min="255" max="255" width="10.140625" style="203" customWidth="1"/>
    <col min="256" max="256" width="10.140625" style="203" bestFit="1" customWidth="1"/>
    <col min="257" max="257" width="14.5703125" style="203" bestFit="1" customWidth="1"/>
    <col min="258" max="259" width="12.85546875" style="203" bestFit="1" customWidth="1"/>
    <col min="260" max="260" width="11.42578125" style="203" customWidth="1"/>
    <col min="261" max="261" width="14.7109375" style="203" customWidth="1"/>
    <col min="262" max="262" width="11.85546875" style="203" bestFit="1" customWidth="1"/>
    <col min="263" max="264" width="9.85546875" style="203" bestFit="1" customWidth="1"/>
    <col min="265" max="266" width="9.140625" style="203"/>
    <col min="267" max="267" width="11.7109375" style="203" bestFit="1" customWidth="1"/>
    <col min="268" max="501" width="9.140625" style="203"/>
    <col min="502" max="502" width="4.28515625" style="203" customWidth="1"/>
    <col min="503" max="503" width="10.5703125" style="203" customWidth="1"/>
    <col min="504" max="504" width="12" style="203" customWidth="1"/>
    <col min="505" max="505" width="8.7109375" style="203" customWidth="1"/>
    <col min="506" max="506" width="7.28515625" style="203" customWidth="1"/>
    <col min="507" max="507" width="14.42578125" style="203" customWidth="1"/>
    <col min="508" max="508" width="7.140625" style="203" customWidth="1"/>
    <col min="509" max="509" width="7" style="203" customWidth="1"/>
    <col min="510" max="510" width="11.7109375" style="203" customWidth="1"/>
    <col min="511" max="511" width="10.140625" style="203" customWidth="1"/>
    <col min="512" max="512" width="10.140625" style="203" bestFit="1" customWidth="1"/>
    <col min="513" max="513" width="14.5703125" style="203" bestFit="1" customWidth="1"/>
    <col min="514" max="515" width="12.85546875" style="203" bestFit="1" customWidth="1"/>
    <col min="516" max="516" width="11.42578125" style="203" customWidth="1"/>
    <col min="517" max="517" width="14.7109375" style="203" customWidth="1"/>
    <col min="518" max="518" width="11.85546875" style="203" bestFit="1" customWidth="1"/>
    <col min="519" max="520" width="9.85546875" style="203" bestFit="1" customWidth="1"/>
    <col min="521" max="522" width="9.140625" style="203"/>
    <col min="523" max="523" width="11.7109375" style="203" bestFit="1" customWidth="1"/>
    <col min="524" max="757" width="9.140625" style="203"/>
    <col min="758" max="758" width="4.28515625" style="203" customWidth="1"/>
    <col min="759" max="759" width="10.5703125" style="203" customWidth="1"/>
    <col min="760" max="760" width="12" style="203" customWidth="1"/>
    <col min="761" max="761" width="8.7109375" style="203" customWidth="1"/>
    <col min="762" max="762" width="7.28515625" style="203" customWidth="1"/>
    <col min="763" max="763" width="14.42578125" style="203" customWidth="1"/>
    <col min="764" max="764" width="7.140625" style="203" customWidth="1"/>
    <col min="765" max="765" width="7" style="203" customWidth="1"/>
    <col min="766" max="766" width="11.7109375" style="203" customWidth="1"/>
    <col min="767" max="767" width="10.140625" style="203" customWidth="1"/>
    <col min="768" max="768" width="10.140625" style="203" bestFit="1" customWidth="1"/>
    <col min="769" max="769" width="14.5703125" style="203" bestFit="1" customWidth="1"/>
    <col min="770" max="771" width="12.85546875" style="203" bestFit="1" customWidth="1"/>
    <col min="772" max="772" width="11.42578125" style="203" customWidth="1"/>
    <col min="773" max="773" width="14.7109375" style="203" customWidth="1"/>
    <col min="774" max="774" width="11.85546875" style="203" bestFit="1" customWidth="1"/>
    <col min="775" max="776" width="9.85546875" style="203" bestFit="1" customWidth="1"/>
    <col min="777" max="778" width="9.140625" style="203"/>
    <col min="779" max="779" width="11.7109375" style="203" bestFit="1" customWidth="1"/>
    <col min="780" max="1013" width="9.140625" style="203"/>
    <col min="1014" max="1014" width="4.28515625" style="203" customWidth="1"/>
    <col min="1015" max="1015" width="10.5703125" style="203" customWidth="1"/>
    <col min="1016" max="1016" width="12" style="203" customWidth="1"/>
    <col min="1017" max="1017" width="8.7109375" style="203" customWidth="1"/>
    <col min="1018" max="1018" width="7.28515625" style="203" customWidth="1"/>
    <col min="1019" max="1019" width="14.42578125" style="203" customWidth="1"/>
    <col min="1020" max="1020" width="7.140625" style="203" customWidth="1"/>
    <col min="1021" max="1021" width="7" style="203" customWidth="1"/>
    <col min="1022" max="1022" width="11.7109375" style="203" customWidth="1"/>
    <col min="1023" max="1023" width="10.140625" style="203" customWidth="1"/>
    <col min="1024" max="1024" width="10.140625" style="203" bestFit="1" customWidth="1"/>
    <col min="1025" max="1025" width="14.5703125" style="203" bestFit="1" customWidth="1"/>
    <col min="1026" max="1027" width="12.85546875" style="203" bestFit="1" customWidth="1"/>
    <col min="1028" max="1028" width="11.42578125" style="203" customWidth="1"/>
    <col min="1029" max="1029" width="14.7109375" style="203" customWidth="1"/>
    <col min="1030" max="1030" width="11.85546875" style="203" bestFit="1" customWidth="1"/>
    <col min="1031" max="1032" width="9.85546875" style="203" bestFit="1" customWidth="1"/>
    <col min="1033" max="1034" width="9.140625" style="203"/>
    <col min="1035" max="1035" width="11.7109375" style="203" bestFit="1" customWidth="1"/>
    <col min="1036" max="1269" width="9.140625" style="203"/>
    <col min="1270" max="1270" width="4.28515625" style="203" customWidth="1"/>
    <col min="1271" max="1271" width="10.5703125" style="203" customWidth="1"/>
    <col min="1272" max="1272" width="12" style="203" customWidth="1"/>
    <col min="1273" max="1273" width="8.7109375" style="203" customWidth="1"/>
    <col min="1274" max="1274" width="7.28515625" style="203" customWidth="1"/>
    <col min="1275" max="1275" width="14.42578125" style="203" customWidth="1"/>
    <col min="1276" max="1276" width="7.140625" style="203" customWidth="1"/>
    <col min="1277" max="1277" width="7" style="203" customWidth="1"/>
    <col min="1278" max="1278" width="11.7109375" style="203" customWidth="1"/>
    <col min="1279" max="1279" width="10.140625" style="203" customWidth="1"/>
    <col min="1280" max="1280" width="10.140625" style="203" bestFit="1" customWidth="1"/>
    <col min="1281" max="1281" width="14.5703125" style="203" bestFit="1" customWidth="1"/>
    <col min="1282" max="1283" width="12.85546875" style="203" bestFit="1" customWidth="1"/>
    <col min="1284" max="1284" width="11.42578125" style="203" customWidth="1"/>
    <col min="1285" max="1285" width="14.7109375" style="203" customWidth="1"/>
    <col min="1286" max="1286" width="11.85546875" style="203" bestFit="1" customWidth="1"/>
    <col min="1287" max="1288" width="9.85546875" style="203" bestFit="1" customWidth="1"/>
    <col min="1289" max="1290" width="9.140625" style="203"/>
    <col min="1291" max="1291" width="11.7109375" style="203" bestFit="1" customWidth="1"/>
    <col min="1292" max="1525" width="9.140625" style="203"/>
    <col min="1526" max="1526" width="4.28515625" style="203" customWidth="1"/>
    <col min="1527" max="1527" width="10.5703125" style="203" customWidth="1"/>
    <col min="1528" max="1528" width="12" style="203" customWidth="1"/>
    <col min="1529" max="1529" width="8.7109375" style="203" customWidth="1"/>
    <col min="1530" max="1530" width="7.28515625" style="203" customWidth="1"/>
    <col min="1531" max="1531" width="14.42578125" style="203" customWidth="1"/>
    <col min="1532" max="1532" width="7.140625" style="203" customWidth="1"/>
    <col min="1533" max="1533" width="7" style="203" customWidth="1"/>
    <col min="1534" max="1534" width="11.7109375" style="203" customWidth="1"/>
    <col min="1535" max="1535" width="10.140625" style="203" customWidth="1"/>
    <col min="1536" max="1536" width="10.140625" style="203" bestFit="1" customWidth="1"/>
    <col min="1537" max="1537" width="14.5703125" style="203" bestFit="1" customWidth="1"/>
    <col min="1538" max="1539" width="12.85546875" style="203" bestFit="1" customWidth="1"/>
    <col min="1540" max="1540" width="11.42578125" style="203" customWidth="1"/>
    <col min="1541" max="1541" width="14.7109375" style="203" customWidth="1"/>
    <col min="1542" max="1542" width="11.85546875" style="203" bestFit="1" customWidth="1"/>
    <col min="1543" max="1544" width="9.85546875" style="203" bestFit="1" customWidth="1"/>
    <col min="1545" max="1546" width="9.140625" style="203"/>
    <col min="1547" max="1547" width="11.7109375" style="203" bestFit="1" customWidth="1"/>
    <col min="1548" max="1781" width="9.140625" style="203"/>
    <col min="1782" max="1782" width="4.28515625" style="203" customWidth="1"/>
    <col min="1783" max="1783" width="10.5703125" style="203" customWidth="1"/>
    <col min="1784" max="1784" width="12" style="203" customWidth="1"/>
    <col min="1785" max="1785" width="8.7109375" style="203" customWidth="1"/>
    <col min="1786" max="1786" width="7.28515625" style="203" customWidth="1"/>
    <col min="1787" max="1787" width="14.42578125" style="203" customWidth="1"/>
    <col min="1788" max="1788" width="7.140625" style="203" customWidth="1"/>
    <col min="1789" max="1789" width="7" style="203" customWidth="1"/>
    <col min="1790" max="1790" width="11.7109375" style="203" customWidth="1"/>
    <col min="1791" max="1791" width="10.140625" style="203" customWidth="1"/>
    <col min="1792" max="1792" width="10.140625" style="203" bestFit="1" customWidth="1"/>
    <col min="1793" max="1793" width="14.5703125" style="203" bestFit="1" customWidth="1"/>
    <col min="1794" max="1795" width="12.85546875" style="203" bestFit="1" customWidth="1"/>
    <col min="1796" max="1796" width="11.42578125" style="203" customWidth="1"/>
    <col min="1797" max="1797" width="14.7109375" style="203" customWidth="1"/>
    <col min="1798" max="1798" width="11.85546875" style="203" bestFit="1" customWidth="1"/>
    <col min="1799" max="1800" width="9.85546875" style="203" bestFit="1" customWidth="1"/>
    <col min="1801" max="1802" width="9.140625" style="203"/>
    <col min="1803" max="1803" width="11.7109375" style="203" bestFit="1" customWidth="1"/>
    <col min="1804" max="2037" width="9.140625" style="203"/>
    <col min="2038" max="2038" width="4.28515625" style="203" customWidth="1"/>
    <col min="2039" max="2039" width="10.5703125" style="203" customWidth="1"/>
    <col min="2040" max="2040" width="12" style="203" customWidth="1"/>
    <col min="2041" max="2041" width="8.7109375" style="203" customWidth="1"/>
    <col min="2042" max="2042" width="7.28515625" style="203" customWidth="1"/>
    <col min="2043" max="2043" width="14.42578125" style="203" customWidth="1"/>
    <col min="2044" max="2044" width="7.140625" style="203" customWidth="1"/>
    <col min="2045" max="2045" width="7" style="203" customWidth="1"/>
    <col min="2046" max="2046" width="11.7109375" style="203" customWidth="1"/>
    <col min="2047" max="2047" width="10.140625" style="203" customWidth="1"/>
    <col min="2048" max="2048" width="10.140625" style="203" bestFit="1" customWidth="1"/>
    <col min="2049" max="2049" width="14.5703125" style="203" bestFit="1" customWidth="1"/>
    <col min="2050" max="2051" width="12.85546875" style="203" bestFit="1" customWidth="1"/>
    <col min="2052" max="2052" width="11.42578125" style="203" customWidth="1"/>
    <col min="2053" max="2053" width="14.7109375" style="203" customWidth="1"/>
    <col min="2054" max="2054" width="11.85546875" style="203" bestFit="1" customWidth="1"/>
    <col min="2055" max="2056" width="9.85546875" style="203" bestFit="1" customWidth="1"/>
    <col min="2057" max="2058" width="9.140625" style="203"/>
    <col min="2059" max="2059" width="11.7109375" style="203" bestFit="1" customWidth="1"/>
    <col min="2060" max="2293" width="9.140625" style="203"/>
    <col min="2294" max="2294" width="4.28515625" style="203" customWidth="1"/>
    <col min="2295" max="2295" width="10.5703125" style="203" customWidth="1"/>
    <col min="2296" max="2296" width="12" style="203" customWidth="1"/>
    <col min="2297" max="2297" width="8.7109375" style="203" customWidth="1"/>
    <col min="2298" max="2298" width="7.28515625" style="203" customWidth="1"/>
    <col min="2299" max="2299" width="14.42578125" style="203" customWidth="1"/>
    <col min="2300" max="2300" width="7.140625" style="203" customWidth="1"/>
    <col min="2301" max="2301" width="7" style="203" customWidth="1"/>
    <col min="2302" max="2302" width="11.7109375" style="203" customWidth="1"/>
    <col min="2303" max="2303" width="10.140625" style="203" customWidth="1"/>
    <col min="2304" max="2304" width="10.140625" style="203" bestFit="1" customWidth="1"/>
    <col min="2305" max="2305" width="14.5703125" style="203" bestFit="1" customWidth="1"/>
    <col min="2306" max="2307" width="12.85546875" style="203" bestFit="1" customWidth="1"/>
    <col min="2308" max="2308" width="11.42578125" style="203" customWidth="1"/>
    <col min="2309" max="2309" width="14.7109375" style="203" customWidth="1"/>
    <col min="2310" max="2310" width="11.85546875" style="203" bestFit="1" customWidth="1"/>
    <col min="2311" max="2312" width="9.85546875" style="203" bestFit="1" customWidth="1"/>
    <col min="2313" max="2314" width="9.140625" style="203"/>
    <col min="2315" max="2315" width="11.7109375" style="203" bestFit="1" customWidth="1"/>
    <col min="2316" max="2549" width="9.140625" style="203"/>
    <col min="2550" max="2550" width="4.28515625" style="203" customWidth="1"/>
    <col min="2551" max="2551" width="10.5703125" style="203" customWidth="1"/>
    <col min="2552" max="2552" width="12" style="203" customWidth="1"/>
    <col min="2553" max="2553" width="8.7109375" style="203" customWidth="1"/>
    <col min="2554" max="2554" width="7.28515625" style="203" customWidth="1"/>
    <col min="2555" max="2555" width="14.42578125" style="203" customWidth="1"/>
    <col min="2556" max="2556" width="7.140625" style="203" customWidth="1"/>
    <col min="2557" max="2557" width="7" style="203" customWidth="1"/>
    <col min="2558" max="2558" width="11.7109375" style="203" customWidth="1"/>
    <col min="2559" max="2559" width="10.140625" style="203" customWidth="1"/>
    <col min="2560" max="2560" width="10.140625" style="203" bestFit="1" customWidth="1"/>
    <col min="2561" max="2561" width="14.5703125" style="203" bestFit="1" customWidth="1"/>
    <col min="2562" max="2563" width="12.85546875" style="203" bestFit="1" customWidth="1"/>
    <col min="2564" max="2564" width="11.42578125" style="203" customWidth="1"/>
    <col min="2565" max="2565" width="14.7109375" style="203" customWidth="1"/>
    <col min="2566" max="2566" width="11.85546875" style="203" bestFit="1" customWidth="1"/>
    <col min="2567" max="2568" width="9.85546875" style="203" bestFit="1" customWidth="1"/>
    <col min="2569" max="2570" width="9.140625" style="203"/>
    <col min="2571" max="2571" width="11.7109375" style="203" bestFit="1" customWidth="1"/>
    <col min="2572" max="2805" width="9.140625" style="203"/>
    <col min="2806" max="2806" width="4.28515625" style="203" customWidth="1"/>
    <col min="2807" max="2807" width="10.5703125" style="203" customWidth="1"/>
    <col min="2808" max="2808" width="12" style="203" customWidth="1"/>
    <col min="2809" max="2809" width="8.7109375" style="203" customWidth="1"/>
    <col min="2810" max="2810" width="7.28515625" style="203" customWidth="1"/>
    <col min="2811" max="2811" width="14.42578125" style="203" customWidth="1"/>
    <col min="2812" max="2812" width="7.140625" style="203" customWidth="1"/>
    <col min="2813" max="2813" width="7" style="203" customWidth="1"/>
    <col min="2814" max="2814" width="11.7109375" style="203" customWidth="1"/>
    <col min="2815" max="2815" width="10.140625" style="203" customWidth="1"/>
    <col min="2816" max="2816" width="10.140625" style="203" bestFit="1" customWidth="1"/>
    <col min="2817" max="2817" width="14.5703125" style="203" bestFit="1" customWidth="1"/>
    <col min="2818" max="2819" width="12.85546875" style="203" bestFit="1" customWidth="1"/>
    <col min="2820" max="2820" width="11.42578125" style="203" customWidth="1"/>
    <col min="2821" max="2821" width="14.7109375" style="203" customWidth="1"/>
    <col min="2822" max="2822" width="11.85546875" style="203" bestFit="1" customWidth="1"/>
    <col min="2823" max="2824" width="9.85546875" style="203" bestFit="1" customWidth="1"/>
    <col min="2825" max="2826" width="9.140625" style="203"/>
    <col min="2827" max="2827" width="11.7109375" style="203" bestFit="1" customWidth="1"/>
    <col min="2828" max="3061" width="9.140625" style="203"/>
    <col min="3062" max="3062" width="4.28515625" style="203" customWidth="1"/>
    <col min="3063" max="3063" width="10.5703125" style="203" customWidth="1"/>
    <col min="3064" max="3064" width="12" style="203" customWidth="1"/>
    <col min="3065" max="3065" width="8.7109375" style="203" customWidth="1"/>
    <col min="3066" max="3066" width="7.28515625" style="203" customWidth="1"/>
    <col min="3067" max="3067" width="14.42578125" style="203" customWidth="1"/>
    <col min="3068" max="3068" width="7.140625" style="203" customWidth="1"/>
    <col min="3069" max="3069" width="7" style="203" customWidth="1"/>
    <col min="3070" max="3070" width="11.7109375" style="203" customWidth="1"/>
    <col min="3071" max="3071" width="10.140625" style="203" customWidth="1"/>
    <col min="3072" max="3072" width="10.140625" style="203" bestFit="1" customWidth="1"/>
    <col min="3073" max="3073" width="14.5703125" style="203" bestFit="1" customWidth="1"/>
    <col min="3074" max="3075" width="12.85546875" style="203" bestFit="1" customWidth="1"/>
    <col min="3076" max="3076" width="11.42578125" style="203" customWidth="1"/>
    <col min="3077" max="3077" width="14.7109375" style="203" customWidth="1"/>
    <col min="3078" max="3078" width="11.85546875" style="203" bestFit="1" customWidth="1"/>
    <col min="3079" max="3080" width="9.85546875" style="203" bestFit="1" customWidth="1"/>
    <col min="3081" max="3082" width="9.140625" style="203"/>
    <col min="3083" max="3083" width="11.7109375" style="203" bestFit="1" customWidth="1"/>
    <col min="3084" max="3317" width="9.140625" style="203"/>
    <col min="3318" max="3318" width="4.28515625" style="203" customWidth="1"/>
    <col min="3319" max="3319" width="10.5703125" style="203" customWidth="1"/>
    <col min="3320" max="3320" width="12" style="203" customWidth="1"/>
    <col min="3321" max="3321" width="8.7109375" style="203" customWidth="1"/>
    <col min="3322" max="3322" width="7.28515625" style="203" customWidth="1"/>
    <col min="3323" max="3323" width="14.42578125" style="203" customWidth="1"/>
    <col min="3324" max="3324" width="7.140625" style="203" customWidth="1"/>
    <col min="3325" max="3325" width="7" style="203" customWidth="1"/>
    <col min="3326" max="3326" width="11.7109375" style="203" customWidth="1"/>
    <col min="3327" max="3327" width="10.140625" style="203" customWidth="1"/>
    <col min="3328" max="3328" width="10.140625" style="203" bestFit="1" customWidth="1"/>
    <col min="3329" max="3329" width="14.5703125" style="203" bestFit="1" customWidth="1"/>
    <col min="3330" max="3331" width="12.85546875" style="203" bestFit="1" customWidth="1"/>
    <col min="3332" max="3332" width="11.42578125" style="203" customWidth="1"/>
    <col min="3333" max="3333" width="14.7109375" style="203" customWidth="1"/>
    <col min="3334" max="3334" width="11.85546875" style="203" bestFit="1" customWidth="1"/>
    <col min="3335" max="3336" width="9.85546875" style="203" bestFit="1" customWidth="1"/>
    <col min="3337" max="3338" width="9.140625" style="203"/>
    <col min="3339" max="3339" width="11.7109375" style="203" bestFit="1" customWidth="1"/>
    <col min="3340" max="3573" width="9.140625" style="203"/>
    <col min="3574" max="3574" width="4.28515625" style="203" customWidth="1"/>
    <col min="3575" max="3575" width="10.5703125" style="203" customWidth="1"/>
    <col min="3576" max="3576" width="12" style="203" customWidth="1"/>
    <col min="3577" max="3577" width="8.7109375" style="203" customWidth="1"/>
    <col min="3578" max="3578" width="7.28515625" style="203" customWidth="1"/>
    <col min="3579" max="3579" width="14.42578125" style="203" customWidth="1"/>
    <col min="3580" max="3580" width="7.140625" style="203" customWidth="1"/>
    <col min="3581" max="3581" width="7" style="203" customWidth="1"/>
    <col min="3582" max="3582" width="11.7109375" style="203" customWidth="1"/>
    <col min="3583" max="3583" width="10.140625" style="203" customWidth="1"/>
    <col min="3584" max="3584" width="10.140625" style="203" bestFit="1" customWidth="1"/>
    <col min="3585" max="3585" width="14.5703125" style="203" bestFit="1" customWidth="1"/>
    <col min="3586" max="3587" width="12.85546875" style="203" bestFit="1" customWidth="1"/>
    <col min="3588" max="3588" width="11.42578125" style="203" customWidth="1"/>
    <col min="3589" max="3589" width="14.7109375" style="203" customWidth="1"/>
    <col min="3590" max="3590" width="11.85546875" style="203" bestFit="1" customWidth="1"/>
    <col min="3591" max="3592" width="9.85546875" style="203" bestFit="1" customWidth="1"/>
    <col min="3593" max="3594" width="9.140625" style="203"/>
    <col min="3595" max="3595" width="11.7109375" style="203" bestFit="1" customWidth="1"/>
    <col min="3596" max="3829" width="9.140625" style="203"/>
    <col min="3830" max="3830" width="4.28515625" style="203" customWidth="1"/>
    <col min="3831" max="3831" width="10.5703125" style="203" customWidth="1"/>
    <col min="3832" max="3832" width="12" style="203" customWidth="1"/>
    <col min="3833" max="3833" width="8.7109375" style="203" customWidth="1"/>
    <col min="3834" max="3834" width="7.28515625" style="203" customWidth="1"/>
    <col min="3835" max="3835" width="14.42578125" style="203" customWidth="1"/>
    <col min="3836" max="3836" width="7.140625" style="203" customWidth="1"/>
    <col min="3837" max="3837" width="7" style="203" customWidth="1"/>
    <col min="3838" max="3838" width="11.7109375" style="203" customWidth="1"/>
    <col min="3839" max="3839" width="10.140625" style="203" customWidth="1"/>
    <col min="3840" max="3840" width="10.140625" style="203" bestFit="1" customWidth="1"/>
    <col min="3841" max="3841" width="14.5703125" style="203" bestFit="1" customWidth="1"/>
    <col min="3842" max="3843" width="12.85546875" style="203" bestFit="1" customWidth="1"/>
    <col min="3844" max="3844" width="11.42578125" style="203" customWidth="1"/>
    <col min="3845" max="3845" width="14.7109375" style="203" customWidth="1"/>
    <col min="3846" max="3846" width="11.85546875" style="203" bestFit="1" customWidth="1"/>
    <col min="3847" max="3848" width="9.85546875" style="203" bestFit="1" customWidth="1"/>
    <col min="3849" max="3850" width="9.140625" style="203"/>
    <col min="3851" max="3851" width="11.7109375" style="203" bestFit="1" customWidth="1"/>
    <col min="3852" max="4085" width="9.140625" style="203"/>
    <col min="4086" max="4086" width="4.28515625" style="203" customWidth="1"/>
    <col min="4087" max="4087" width="10.5703125" style="203" customWidth="1"/>
    <col min="4088" max="4088" width="12" style="203" customWidth="1"/>
    <col min="4089" max="4089" width="8.7109375" style="203" customWidth="1"/>
    <col min="4090" max="4090" width="7.28515625" style="203" customWidth="1"/>
    <col min="4091" max="4091" width="14.42578125" style="203" customWidth="1"/>
    <col min="4092" max="4092" width="7.140625" style="203" customWidth="1"/>
    <col min="4093" max="4093" width="7" style="203" customWidth="1"/>
    <col min="4094" max="4094" width="11.7109375" style="203" customWidth="1"/>
    <col min="4095" max="4095" width="10.140625" style="203" customWidth="1"/>
    <col min="4096" max="4096" width="10.140625" style="203" bestFit="1" customWidth="1"/>
    <col min="4097" max="4097" width="14.5703125" style="203" bestFit="1" customWidth="1"/>
    <col min="4098" max="4099" width="12.85546875" style="203" bestFit="1" customWidth="1"/>
    <col min="4100" max="4100" width="11.42578125" style="203" customWidth="1"/>
    <col min="4101" max="4101" width="14.7109375" style="203" customWidth="1"/>
    <col min="4102" max="4102" width="11.85546875" style="203" bestFit="1" customWidth="1"/>
    <col min="4103" max="4104" width="9.85546875" style="203" bestFit="1" customWidth="1"/>
    <col min="4105" max="4106" width="9.140625" style="203"/>
    <col min="4107" max="4107" width="11.7109375" style="203" bestFit="1" customWidth="1"/>
    <col min="4108" max="4341" width="9.140625" style="203"/>
    <col min="4342" max="4342" width="4.28515625" style="203" customWidth="1"/>
    <col min="4343" max="4343" width="10.5703125" style="203" customWidth="1"/>
    <col min="4344" max="4344" width="12" style="203" customWidth="1"/>
    <col min="4345" max="4345" width="8.7109375" style="203" customWidth="1"/>
    <col min="4346" max="4346" width="7.28515625" style="203" customWidth="1"/>
    <col min="4347" max="4347" width="14.42578125" style="203" customWidth="1"/>
    <col min="4348" max="4348" width="7.140625" style="203" customWidth="1"/>
    <col min="4349" max="4349" width="7" style="203" customWidth="1"/>
    <col min="4350" max="4350" width="11.7109375" style="203" customWidth="1"/>
    <col min="4351" max="4351" width="10.140625" style="203" customWidth="1"/>
    <col min="4352" max="4352" width="10.140625" style="203" bestFit="1" customWidth="1"/>
    <col min="4353" max="4353" width="14.5703125" style="203" bestFit="1" customWidth="1"/>
    <col min="4354" max="4355" width="12.85546875" style="203" bestFit="1" customWidth="1"/>
    <col min="4356" max="4356" width="11.42578125" style="203" customWidth="1"/>
    <col min="4357" max="4357" width="14.7109375" style="203" customWidth="1"/>
    <col min="4358" max="4358" width="11.85546875" style="203" bestFit="1" customWidth="1"/>
    <col min="4359" max="4360" width="9.85546875" style="203" bestFit="1" customWidth="1"/>
    <col min="4361" max="4362" width="9.140625" style="203"/>
    <col min="4363" max="4363" width="11.7109375" style="203" bestFit="1" customWidth="1"/>
    <col min="4364" max="4597" width="9.140625" style="203"/>
    <col min="4598" max="4598" width="4.28515625" style="203" customWidth="1"/>
    <col min="4599" max="4599" width="10.5703125" style="203" customWidth="1"/>
    <col min="4600" max="4600" width="12" style="203" customWidth="1"/>
    <col min="4601" max="4601" width="8.7109375" style="203" customWidth="1"/>
    <col min="4602" max="4602" width="7.28515625" style="203" customWidth="1"/>
    <col min="4603" max="4603" width="14.42578125" style="203" customWidth="1"/>
    <col min="4604" max="4604" width="7.140625" style="203" customWidth="1"/>
    <col min="4605" max="4605" width="7" style="203" customWidth="1"/>
    <col min="4606" max="4606" width="11.7109375" style="203" customWidth="1"/>
    <col min="4607" max="4607" width="10.140625" style="203" customWidth="1"/>
    <col min="4608" max="4608" width="10.140625" style="203" bestFit="1" customWidth="1"/>
    <col min="4609" max="4609" width="14.5703125" style="203" bestFit="1" customWidth="1"/>
    <col min="4610" max="4611" width="12.85546875" style="203" bestFit="1" customWidth="1"/>
    <col min="4612" max="4612" width="11.42578125" style="203" customWidth="1"/>
    <col min="4613" max="4613" width="14.7109375" style="203" customWidth="1"/>
    <col min="4614" max="4614" width="11.85546875" style="203" bestFit="1" customWidth="1"/>
    <col min="4615" max="4616" width="9.85546875" style="203" bestFit="1" customWidth="1"/>
    <col min="4617" max="4618" width="9.140625" style="203"/>
    <col min="4619" max="4619" width="11.7109375" style="203" bestFit="1" customWidth="1"/>
    <col min="4620" max="4853" width="9.140625" style="203"/>
    <col min="4854" max="4854" width="4.28515625" style="203" customWidth="1"/>
    <col min="4855" max="4855" width="10.5703125" style="203" customWidth="1"/>
    <col min="4856" max="4856" width="12" style="203" customWidth="1"/>
    <col min="4857" max="4857" width="8.7109375" style="203" customWidth="1"/>
    <col min="4858" max="4858" width="7.28515625" style="203" customWidth="1"/>
    <col min="4859" max="4859" width="14.42578125" style="203" customWidth="1"/>
    <col min="4860" max="4860" width="7.140625" style="203" customWidth="1"/>
    <col min="4861" max="4861" width="7" style="203" customWidth="1"/>
    <col min="4862" max="4862" width="11.7109375" style="203" customWidth="1"/>
    <col min="4863" max="4863" width="10.140625" style="203" customWidth="1"/>
    <col min="4864" max="4864" width="10.140625" style="203" bestFit="1" customWidth="1"/>
    <col min="4865" max="4865" width="14.5703125" style="203" bestFit="1" customWidth="1"/>
    <col min="4866" max="4867" width="12.85546875" style="203" bestFit="1" customWidth="1"/>
    <col min="4868" max="4868" width="11.42578125" style="203" customWidth="1"/>
    <col min="4869" max="4869" width="14.7109375" style="203" customWidth="1"/>
    <col min="4870" max="4870" width="11.85546875" style="203" bestFit="1" customWidth="1"/>
    <col min="4871" max="4872" width="9.85546875" style="203" bestFit="1" customWidth="1"/>
    <col min="4873" max="4874" width="9.140625" style="203"/>
    <col min="4875" max="4875" width="11.7109375" style="203" bestFit="1" customWidth="1"/>
    <col min="4876" max="5109" width="9.140625" style="203"/>
    <col min="5110" max="5110" width="4.28515625" style="203" customWidth="1"/>
    <col min="5111" max="5111" width="10.5703125" style="203" customWidth="1"/>
    <col min="5112" max="5112" width="12" style="203" customWidth="1"/>
    <col min="5113" max="5113" width="8.7109375" style="203" customWidth="1"/>
    <col min="5114" max="5114" width="7.28515625" style="203" customWidth="1"/>
    <col min="5115" max="5115" width="14.42578125" style="203" customWidth="1"/>
    <col min="5116" max="5116" width="7.140625" style="203" customWidth="1"/>
    <col min="5117" max="5117" width="7" style="203" customWidth="1"/>
    <col min="5118" max="5118" width="11.7109375" style="203" customWidth="1"/>
    <col min="5119" max="5119" width="10.140625" style="203" customWidth="1"/>
    <col min="5120" max="5120" width="10.140625" style="203" bestFit="1" customWidth="1"/>
    <col min="5121" max="5121" width="14.5703125" style="203" bestFit="1" customWidth="1"/>
    <col min="5122" max="5123" width="12.85546875" style="203" bestFit="1" customWidth="1"/>
    <col min="5124" max="5124" width="11.42578125" style="203" customWidth="1"/>
    <col min="5125" max="5125" width="14.7109375" style="203" customWidth="1"/>
    <col min="5126" max="5126" width="11.85546875" style="203" bestFit="1" customWidth="1"/>
    <col min="5127" max="5128" width="9.85546875" style="203" bestFit="1" customWidth="1"/>
    <col min="5129" max="5130" width="9.140625" style="203"/>
    <col min="5131" max="5131" width="11.7109375" style="203" bestFit="1" customWidth="1"/>
    <col min="5132" max="5365" width="9.140625" style="203"/>
    <col min="5366" max="5366" width="4.28515625" style="203" customWidth="1"/>
    <col min="5367" max="5367" width="10.5703125" style="203" customWidth="1"/>
    <col min="5368" max="5368" width="12" style="203" customWidth="1"/>
    <col min="5369" max="5369" width="8.7109375" style="203" customWidth="1"/>
    <col min="5370" max="5370" width="7.28515625" style="203" customWidth="1"/>
    <col min="5371" max="5371" width="14.42578125" style="203" customWidth="1"/>
    <col min="5372" max="5372" width="7.140625" style="203" customWidth="1"/>
    <col min="5373" max="5373" width="7" style="203" customWidth="1"/>
    <col min="5374" max="5374" width="11.7109375" style="203" customWidth="1"/>
    <col min="5375" max="5375" width="10.140625" style="203" customWidth="1"/>
    <col min="5376" max="5376" width="10.140625" style="203" bestFit="1" customWidth="1"/>
    <col min="5377" max="5377" width="14.5703125" style="203" bestFit="1" customWidth="1"/>
    <col min="5378" max="5379" width="12.85546875" style="203" bestFit="1" customWidth="1"/>
    <col min="5380" max="5380" width="11.42578125" style="203" customWidth="1"/>
    <col min="5381" max="5381" width="14.7109375" style="203" customWidth="1"/>
    <col min="5382" max="5382" width="11.85546875" style="203" bestFit="1" customWidth="1"/>
    <col min="5383" max="5384" width="9.85546875" style="203" bestFit="1" customWidth="1"/>
    <col min="5385" max="5386" width="9.140625" style="203"/>
    <col min="5387" max="5387" width="11.7109375" style="203" bestFit="1" customWidth="1"/>
    <col min="5388" max="5621" width="9.140625" style="203"/>
    <col min="5622" max="5622" width="4.28515625" style="203" customWidth="1"/>
    <col min="5623" max="5623" width="10.5703125" style="203" customWidth="1"/>
    <col min="5624" max="5624" width="12" style="203" customWidth="1"/>
    <col min="5625" max="5625" width="8.7109375" style="203" customWidth="1"/>
    <col min="5626" max="5626" width="7.28515625" style="203" customWidth="1"/>
    <col min="5627" max="5627" width="14.42578125" style="203" customWidth="1"/>
    <col min="5628" max="5628" width="7.140625" style="203" customWidth="1"/>
    <col min="5629" max="5629" width="7" style="203" customWidth="1"/>
    <col min="5630" max="5630" width="11.7109375" style="203" customWidth="1"/>
    <col min="5631" max="5631" width="10.140625" style="203" customWidth="1"/>
    <col min="5632" max="5632" width="10.140625" style="203" bestFit="1" customWidth="1"/>
    <col min="5633" max="5633" width="14.5703125" style="203" bestFit="1" customWidth="1"/>
    <col min="5634" max="5635" width="12.85546875" style="203" bestFit="1" customWidth="1"/>
    <col min="5636" max="5636" width="11.42578125" style="203" customWidth="1"/>
    <col min="5637" max="5637" width="14.7109375" style="203" customWidth="1"/>
    <col min="5638" max="5638" width="11.85546875" style="203" bestFit="1" customWidth="1"/>
    <col min="5639" max="5640" width="9.85546875" style="203" bestFit="1" customWidth="1"/>
    <col min="5641" max="5642" width="9.140625" style="203"/>
    <col min="5643" max="5643" width="11.7109375" style="203" bestFit="1" customWidth="1"/>
    <col min="5644" max="5877" width="9.140625" style="203"/>
    <col min="5878" max="5878" width="4.28515625" style="203" customWidth="1"/>
    <col min="5879" max="5879" width="10.5703125" style="203" customWidth="1"/>
    <col min="5880" max="5880" width="12" style="203" customWidth="1"/>
    <col min="5881" max="5881" width="8.7109375" style="203" customWidth="1"/>
    <col min="5882" max="5882" width="7.28515625" style="203" customWidth="1"/>
    <col min="5883" max="5883" width="14.42578125" style="203" customWidth="1"/>
    <col min="5884" max="5884" width="7.140625" style="203" customWidth="1"/>
    <col min="5885" max="5885" width="7" style="203" customWidth="1"/>
    <col min="5886" max="5886" width="11.7109375" style="203" customWidth="1"/>
    <col min="5887" max="5887" width="10.140625" style="203" customWidth="1"/>
    <col min="5888" max="5888" width="10.140625" style="203" bestFit="1" customWidth="1"/>
    <col min="5889" max="5889" width="14.5703125" style="203" bestFit="1" customWidth="1"/>
    <col min="5890" max="5891" width="12.85546875" style="203" bestFit="1" customWidth="1"/>
    <col min="5892" max="5892" width="11.42578125" style="203" customWidth="1"/>
    <col min="5893" max="5893" width="14.7109375" style="203" customWidth="1"/>
    <col min="5894" max="5894" width="11.85546875" style="203" bestFit="1" customWidth="1"/>
    <col min="5895" max="5896" width="9.85546875" style="203" bestFit="1" customWidth="1"/>
    <col min="5897" max="5898" width="9.140625" style="203"/>
    <col min="5899" max="5899" width="11.7109375" style="203" bestFit="1" customWidth="1"/>
    <col min="5900" max="6133" width="9.140625" style="203"/>
    <col min="6134" max="6134" width="4.28515625" style="203" customWidth="1"/>
    <col min="6135" max="6135" width="10.5703125" style="203" customWidth="1"/>
    <col min="6136" max="6136" width="12" style="203" customWidth="1"/>
    <col min="6137" max="6137" width="8.7109375" style="203" customWidth="1"/>
    <col min="6138" max="6138" width="7.28515625" style="203" customWidth="1"/>
    <col min="6139" max="6139" width="14.42578125" style="203" customWidth="1"/>
    <col min="6140" max="6140" width="7.140625" style="203" customWidth="1"/>
    <col min="6141" max="6141" width="7" style="203" customWidth="1"/>
    <col min="6142" max="6142" width="11.7109375" style="203" customWidth="1"/>
    <col min="6143" max="6143" width="10.140625" style="203" customWidth="1"/>
    <col min="6144" max="6144" width="10.140625" style="203" bestFit="1" customWidth="1"/>
    <col min="6145" max="6145" width="14.5703125" style="203" bestFit="1" customWidth="1"/>
    <col min="6146" max="6147" width="12.85546875" style="203" bestFit="1" customWidth="1"/>
    <col min="6148" max="6148" width="11.42578125" style="203" customWidth="1"/>
    <col min="6149" max="6149" width="14.7109375" style="203" customWidth="1"/>
    <col min="6150" max="6150" width="11.85546875" style="203" bestFit="1" customWidth="1"/>
    <col min="6151" max="6152" width="9.85546875" style="203" bestFit="1" customWidth="1"/>
    <col min="6153" max="6154" width="9.140625" style="203"/>
    <col min="6155" max="6155" width="11.7109375" style="203" bestFit="1" customWidth="1"/>
    <col min="6156" max="6389" width="9.140625" style="203"/>
    <col min="6390" max="6390" width="4.28515625" style="203" customWidth="1"/>
    <col min="6391" max="6391" width="10.5703125" style="203" customWidth="1"/>
    <col min="6392" max="6392" width="12" style="203" customWidth="1"/>
    <col min="6393" max="6393" width="8.7109375" style="203" customWidth="1"/>
    <col min="6394" max="6394" width="7.28515625" style="203" customWidth="1"/>
    <col min="6395" max="6395" width="14.42578125" style="203" customWidth="1"/>
    <col min="6396" max="6396" width="7.140625" style="203" customWidth="1"/>
    <col min="6397" max="6397" width="7" style="203" customWidth="1"/>
    <col min="6398" max="6398" width="11.7109375" style="203" customWidth="1"/>
    <col min="6399" max="6399" width="10.140625" style="203" customWidth="1"/>
    <col min="6400" max="6400" width="10.140625" style="203" bestFit="1" customWidth="1"/>
    <col min="6401" max="6401" width="14.5703125" style="203" bestFit="1" customWidth="1"/>
    <col min="6402" max="6403" width="12.85546875" style="203" bestFit="1" customWidth="1"/>
    <col min="6404" max="6404" width="11.42578125" style="203" customWidth="1"/>
    <col min="6405" max="6405" width="14.7109375" style="203" customWidth="1"/>
    <col min="6406" max="6406" width="11.85546875" style="203" bestFit="1" customWidth="1"/>
    <col min="6407" max="6408" width="9.85546875" style="203" bestFit="1" customWidth="1"/>
    <col min="6409" max="6410" width="9.140625" style="203"/>
    <col min="6411" max="6411" width="11.7109375" style="203" bestFit="1" customWidth="1"/>
    <col min="6412" max="6645" width="9.140625" style="203"/>
    <col min="6646" max="6646" width="4.28515625" style="203" customWidth="1"/>
    <col min="6647" max="6647" width="10.5703125" style="203" customWidth="1"/>
    <col min="6648" max="6648" width="12" style="203" customWidth="1"/>
    <col min="6649" max="6649" width="8.7109375" style="203" customWidth="1"/>
    <col min="6650" max="6650" width="7.28515625" style="203" customWidth="1"/>
    <col min="6651" max="6651" width="14.42578125" style="203" customWidth="1"/>
    <col min="6652" max="6652" width="7.140625" style="203" customWidth="1"/>
    <col min="6653" max="6653" width="7" style="203" customWidth="1"/>
    <col min="6654" max="6654" width="11.7109375" style="203" customWidth="1"/>
    <col min="6655" max="6655" width="10.140625" style="203" customWidth="1"/>
    <col min="6656" max="6656" width="10.140625" style="203" bestFit="1" customWidth="1"/>
    <col min="6657" max="6657" width="14.5703125" style="203" bestFit="1" customWidth="1"/>
    <col min="6658" max="6659" width="12.85546875" style="203" bestFit="1" customWidth="1"/>
    <col min="6660" max="6660" width="11.42578125" style="203" customWidth="1"/>
    <col min="6661" max="6661" width="14.7109375" style="203" customWidth="1"/>
    <col min="6662" max="6662" width="11.85546875" style="203" bestFit="1" customWidth="1"/>
    <col min="6663" max="6664" width="9.85546875" style="203" bestFit="1" customWidth="1"/>
    <col min="6665" max="6666" width="9.140625" style="203"/>
    <col min="6667" max="6667" width="11.7109375" style="203" bestFit="1" customWidth="1"/>
    <col min="6668" max="6901" width="9.140625" style="203"/>
    <col min="6902" max="6902" width="4.28515625" style="203" customWidth="1"/>
    <col min="6903" max="6903" width="10.5703125" style="203" customWidth="1"/>
    <col min="6904" max="6904" width="12" style="203" customWidth="1"/>
    <col min="6905" max="6905" width="8.7109375" style="203" customWidth="1"/>
    <col min="6906" max="6906" width="7.28515625" style="203" customWidth="1"/>
    <col min="6907" max="6907" width="14.42578125" style="203" customWidth="1"/>
    <col min="6908" max="6908" width="7.140625" style="203" customWidth="1"/>
    <col min="6909" max="6909" width="7" style="203" customWidth="1"/>
    <col min="6910" max="6910" width="11.7109375" style="203" customWidth="1"/>
    <col min="6911" max="6911" width="10.140625" style="203" customWidth="1"/>
    <col min="6912" max="6912" width="10.140625" style="203" bestFit="1" customWidth="1"/>
    <col min="6913" max="6913" width="14.5703125" style="203" bestFit="1" customWidth="1"/>
    <col min="6914" max="6915" width="12.85546875" style="203" bestFit="1" customWidth="1"/>
    <col min="6916" max="6916" width="11.42578125" style="203" customWidth="1"/>
    <col min="6917" max="6917" width="14.7109375" style="203" customWidth="1"/>
    <col min="6918" max="6918" width="11.85546875" style="203" bestFit="1" customWidth="1"/>
    <col min="6919" max="6920" width="9.85546875" style="203" bestFit="1" customWidth="1"/>
    <col min="6921" max="6922" width="9.140625" style="203"/>
    <col min="6923" max="6923" width="11.7109375" style="203" bestFit="1" customWidth="1"/>
    <col min="6924" max="7157" width="9.140625" style="203"/>
    <col min="7158" max="7158" width="4.28515625" style="203" customWidth="1"/>
    <col min="7159" max="7159" width="10.5703125" style="203" customWidth="1"/>
    <col min="7160" max="7160" width="12" style="203" customWidth="1"/>
    <col min="7161" max="7161" width="8.7109375" style="203" customWidth="1"/>
    <col min="7162" max="7162" width="7.28515625" style="203" customWidth="1"/>
    <col min="7163" max="7163" width="14.42578125" style="203" customWidth="1"/>
    <col min="7164" max="7164" width="7.140625" style="203" customWidth="1"/>
    <col min="7165" max="7165" width="7" style="203" customWidth="1"/>
    <col min="7166" max="7166" width="11.7109375" style="203" customWidth="1"/>
    <col min="7167" max="7167" width="10.140625" style="203" customWidth="1"/>
    <col min="7168" max="7168" width="10.140625" style="203" bestFit="1" customWidth="1"/>
    <col min="7169" max="7169" width="14.5703125" style="203" bestFit="1" customWidth="1"/>
    <col min="7170" max="7171" width="12.85546875" style="203" bestFit="1" customWidth="1"/>
    <col min="7172" max="7172" width="11.42578125" style="203" customWidth="1"/>
    <col min="7173" max="7173" width="14.7109375" style="203" customWidth="1"/>
    <col min="7174" max="7174" width="11.85546875" style="203" bestFit="1" customWidth="1"/>
    <col min="7175" max="7176" width="9.85546875" style="203" bestFit="1" customWidth="1"/>
    <col min="7177" max="7178" width="9.140625" style="203"/>
    <col min="7179" max="7179" width="11.7109375" style="203" bestFit="1" customWidth="1"/>
    <col min="7180" max="7413" width="9.140625" style="203"/>
    <col min="7414" max="7414" width="4.28515625" style="203" customWidth="1"/>
    <col min="7415" max="7415" width="10.5703125" style="203" customWidth="1"/>
    <col min="7416" max="7416" width="12" style="203" customWidth="1"/>
    <col min="7417" max="7417" width="8.7109375" style="203" customWidth="1"/>
    <col min="7418" max="7418" width="7.28515625" style="203" customWidth="1"/>
    <col min="7419" max="7419" width="14.42578125" style="203" customWidth="1"/>
    <col min="7420" max="7420" width="7.140625" style="203" customWidth="1"/>
    <col min="7421" max="7421" width="7" style="203" customWidth="1"/>
    <col min="7422" max="7422" width="11.7109375" style="203" customWidth="1"/>
    <col min="7423" max="7423" width="10.140625" style="203" customWidth="1"/>
    <col min="7424" max="7424" width="10.140625" style="203" bestFit="1" customWidth="1"/>
    <col min="7425" max="7425" width="14.5703125" style="203" bestFit="1" customWidth="1"/>
    <col min="7426" max="7427" width="12.85546875" style="203" bestFit="1" customWidth="1"/>
    <col min="7428" max="7428" width="11.42578125" style="203" customWidth="1"/>
    <col min="7429" max="7429" width="14.7109375" style="203" customWidth="1"/>
    <col min="7430" max="7430" width="11.85546875" style="203" bestFit="1" customWidth="1"/>
    <col min="7431" max="7432" width="9.85546875" style="203" bestFit="1" customWidth="1"/>
    <col min="7433" max="7434" width="9.140625" style="203"/>
    <col min="7435" max="7435" width="11.7109375" style="203" bestFit="1" customWidth="1"/>
    <col min="7436" max="7669" width="9.140625" style="203"/>
    <col min="7670" max="7670" width="4.28515625" style="203" customWidth="1"/>
    <col min="7671" max="7671" width="10.5703125" style="203" customWidth="1"/>
    <col min="7672" max="7672" width="12" style="203" customWidth="1"/>
    <col min="7673" max="7673" width="8.7109375" style="203" customWidth="1"/>
    <col min="7674" max="7674" width="7.28515625" style="203" customWidth="1"/>
    <col min="7675" max="7675" width="14.42578125" style="203" customWidth="1"/>
    <col min="7676" max="7676" width="7.140625" style="203" customWidth="1"/>
    <col min="7677" max="7677" width="7" style="203" customWidth="1"/>
    <col min="7678" max="7678" width="11.7109375" style="203" customWidth="1"/>
    <col min="7679" max="7679" width="10.140625" style="203" customWidth="1"/>
    <col min="7680" max="7680" width="10.140625" style="203" bestFit="1" customWidth="1"/>
    <col min="7681" max="7681" width="14.5703125" style="203" bestFit="1" customWidth="1"/>
    <col min="7682" max="7683" width="12.85546875" style="203" bestFit="1" customWidth="1"/>
    <col min="7684" max="7684" width="11.42578125" style="203" customWidth="1"/>
    <col min="7685" max="7685" width="14.7109375" style="203" customWidth="1"/>
    <col min="7686" max="7686" width="11.85546875" style="203" bestFit="1" customWidth="1"/>
    <col min="7687" max="7688" width="9.85546875" style="203" bestFit="1" customWidth="1"/>
    <col min="7689" max="7690" width="9.140625" style="203"/>
    <col min="7691" max="7691" width="11.7109375" style="203" bestFit="1" customWidth="1"/>
    <col min="7692" max="7925" width="9.140625" style="203"/>
    <col min="7926" max="7926" width="4.28515625" style="203" customWidth="1"/>
    <col min="7927" max="7927" width="10.5703125" style="203" customWidth="1"/>
    <col min="7928" max="7928" width="12" style="203" customWidth="1"/>
    <col min="7929" max="7929" width="8.7109375" style="203" customWidth="1"/>
    <col min="7930" max="7930" width="7.28515625" style="203" customWidth="1"/>
    <col min="7931" max="7931" width="14.42578125" style="203" customWidth="1"/>
    <col min="7932" max="7932" width="7.140625" style="203" customWidth="1"/>
    <col min="7933" max="7933" width="7" style="203" customWidth="1"/>
    <col min="7934" max="7934" width="11.7109375" style="203" customWidth="1"/>
    <col min="7935" max="7935" width="10.140625" style="203" customWidth="1"/>
    <col min="7936" max="7936" width="10.140625" style="203" bestFit="1" customWidth="1"/>
    <col min="7937" max="7937" width="14.5703125" style="203" bestFit="1" customWidth="1"/>
    <col min="7938" max="7939" width="12.85546875" style="203" bestFit="1" customWidth="1"/>
    <col min="7940" max="7940" width="11.42578125" style="203" customWidth="1"/>
    <col min="7941" max="7941" width="14.7109375" style="203" customWidth="1"/>
    <col min="7942" max="7942" width="11.85546875" style="203" bestFit="1" customWidth="1"/>
    <col min="7943" max="7944" width="9.85546875" style="203" bestFit="1" customWidth="1"/>
    <col min="7945" max="7946" width="9.140625" style="203"/>
    <col min="7947" max="7947" width="11.7109375" style="203" bestFit="1" customWidth="1"/>
    <col min="7948" max="8181" width="9.140625" style="203"/>
    <col min="8182" max="8182" width="4.28515625" style="203" customWidth="1"/>
    <col min="8183" max="8183" width="10.5703125" style="203" customWidth="1"/>
    <col min="8184" max="8184" width="12" style="203" customWidth="1"/>
    <col min="8185" max="8185" width="8.7109375" style="203" customWidth="1"/>
    <col min="8186" max="8186" width="7.28515625" style="203" customWidth="1"/>
    <col min="8187" max="8187" width="14.42578125" style="203" customWidth="1"/>
    <col min="8188" max="8188" width="7.140625" style="203" customWidth="1"/>
    <col min="8189" max="8189" width="7" style="203" customWidth="1"/>
    <col min="8190" max="8190" width="11.7109375" style="203" customWidth="1"/>
    <col min="8191" max="8191" width="10.140625" style="203" customWidth="1"/>
    <col min="8192" max="8192" width="10.140625" style="203" bestFit="1" customWidth="1"/>
    <col min="8193" max="8193" width="14.5703125" style="203" bestFit="1" customWidth="1"/>
    <col min="8194" max="8195" width="12.85546875" style="203" bestFit="1" customWidth="1"/>
    <col min="8196" max="8196" width="11.42578125" style="203" customWidth="1"/>
    <col min="8197" max="8197" width="14.7109375" style="203" customWidth="1"/>
    <col min="8198" max="8198" width="11.85546875" style="203" bestFit="1" customWidth="1"/>
    <col min="8199" max="8200" width="9.85546875" style="203" bestFit="1" customWidth="1"/>
    <col min="8201" max="8202" width="9.140625" style="203"/>
    <col min="8203" max="8203" width="11.7109375" style="203" bestFit="1" customWidth="1"/>
    <col min="8204" max="8437" width="9.140625" style="203"/>
    <col min="8438" max="8438" width="4.28515625" style="203" customWidth="1"/>
    <col min="8439" max="8439" width="10.5703125" style="203" customWidth="1"/>
    <col min="8440" max="8440" width="12" style="203" customWidth="1"/>
    <col min="8441" max="8441" width="8.7109375" style="203" customWidth="1"/>
    <col min="8442" max="8442" width="7.28515625" style="203" customWidth="1"/>
    <col min="8443" max="8443" width="14.42578125" style="203" customWidth="1"/>
    <col min="8444" max="8444" width="7.140625" style="203" customWidth="1"/>
    <col min="8445" max="8445" width="7" style="203" customWidth="1"/>
    <col min="8446" max="8446" width="11.7109375" style="203" customWidth="1"/>
    <col min="8447" max="8447" width="10.140625" style="203" customWidth="1"/>
    <col min="8448" max="8448" width="10.140625" style="203" bestFit="1" customWidth="1"/>
    <col min="8449" max="8449" width="14.5703125" style="203" bestFit="1" customWidth="1"/>
    <col min="8450" max="8451" width="12.85546875" style="203" bestFit="1" customWidth="1"/>
    <col min="8452" max="8452" width="11.42578125" style="203" customWidth="1"/>
    <col min="8453" max="8453" width="14.7109375" style="203" customWidth="1"/>
    <col min="8454" max="8454" width="11.85546875" style="203" bestFit="1" customWidth="1"/>
    <col min="8455" max="8456" width="9.85546875" style="203" bestFit="1" customWidth="1"/>
    <col min="8457" max="8458" width="9.140625" style="203"/>
    <col min="8459" max="8459" width="11.7109375" style="203" bestFit="1" customWidth="1"/>
    <col min="8460" max="8693" width="9.140625" style="203"/>
    <col min="8694" max="8694" width="4.28515625" style="203" customWidth="1"/>
    <col min="8695" max="8695" width="10.5703125" style="203" customWidth="1"/>
    <col min="8696" max="8696" width="12" style="203" customWidth="1"/>
    <col min="8697" max="8697" width="8.7109375" style="203" customWidth="1"/>
    <col min="8698" max="8698" width="7.28515625" style="203" customWidth="1"/>
    <col min="8699" max="8699" width="14.42578125" style="203" customWidth="1"/>
    <col min="8700" max="8700" width="7.140625" style="203" customWidth="1"/>
    <col min="8701" max="8701" width="7" style="203" customWidth="1"/>
    <col min="8702" max="8702" width="11.7109375" style="203" customWidth="1"/>
    <col min="8703" max="8703" width="10.140625" style="203" customWidth="1"/>
    <col min="8704" max="8704" width="10.140625" style="203" bestFit="1" customWidth="1"/>
    <col min="8705" max="8705" width="14.5703125" style="203" bestFit="1" customWidth="1"/>
    <col min="8706" max="8707" width="12.85546875" style="203" bestFit="1" customWidth="1"/>
    <col min="8708" max="8708" width="11.42578125" style="203" customWidth="1"/>
    <col min="8709" max="8709" width="14.7109375" style="203" customWidth="1"/>
    <col min="8710" max="8710" width="11.85546875" style="203" bestFit="1" customWidth="1"/>
    <col min="8711" max="8712" width="9.85546875" style="203" bestFit="1" customWidth="1"/>
    <col min="8713" max="8714" width="9.140625" style="203"/>
    <col min="8715" max="8715" width="11.7109375" style="203" bestFit="1" customWidth="1"/>
    <col min="8716" max="8949" width="9.140625" style="203"/>
    <col min="8950" max="8950" width="4.28515625" style="203" customWidth="1"/>
    <col min="8951" max="8951" width="10.5703125" style="203" customWidth="1"/>
    <col min="8952" max="8952" width="12" style="203" customWidth="1"/>
    <col min="8953" max="8953" width="8.7109375" style="203" customWidth="1"/>
    <col min="8954" max="8954" width="7.28515625" style="203" customWidth="1"/>
    <col min="8955" max="8955" width="14.42578125" style="203" customWidth="1"/>
    <col min="8956" max="8956" width="7.140625" style="203" customWidth="1"/>
    <col min="8957" max="8957" width="7" style="203" customWidth="1"/>
    <col min="8958" max="8958" width="11.7109375" style="203" customWidth="1"/>
    <col min="8959" max="8959" width="10.140625" style="203" customWidth="1"/>
    <col min="8960" max="8960" width="10.140625" style="203" bestFit="1" customWidth="1"/>
    <col min="8961" max="8961" width="14.5703125" style="203" bestFit="1" customWidth="1"/>
    <col min="8962" max="8963" width="12.85546875" style="203" bestFit="1" customWidth="1"/>
    <col min="8964" max="8964" width="11.42578125" style="203" customWidth="1"/>
    <col min="8965" max="8965" width="14.7109375" style="203" customWidth="1"/>
    <col min="8966" max="8966" width="11.85546875" style="203" bestFit="1" customWidth="1"/>
    <col min="8967" max="8968" width="9.85546875" style="203" bestFit="1" customWidth="1"/>
    <col min="8969" max="8970" width="9.140625" style="203"/>
    <col min="8971" max="8971" width="11.7109375" style="203" bestFit="1" customWidth="1"/>
    <col min="8972" max="9205" width="9.140625" style="203"/>
    <col min="9206" max="9206" width="4.28515625" style="203" customWidth="1"/>
    <col min="9207" max="9207" width="10.5703125" style="203" customWidth="1"/>
    <col min="9208" max="9208" width="12" style="203" customWidth="1"/>
    <col min="9209" max="9209" width="8.7109375" style="203" customWidth="1"/>
    <col min="9210" max="9210" width="7.28515625" style="203" customWidth="1"/>
    <col min="9211" max="9211" width="14.42578125" style="203" customWidth="1"/>
    <col min="9212" max="9212" width="7.140625" style="203" customWidth="1"/>
    <col min="9213" max="9213" width="7" style="203" customWidth="1"/>
    <col min="9214" max="9214" width="11.7109375" style="203" customWidth="1"/>
    <col min="9215" max="9215" width="10.140625" style="203" customWidth="1"/>
    <col min="9216" max="9216" width="10.140625" style="203" bestFit="1" customWidth="1"/>
    <col min="9217" max="9217" width="14.5703125" style="203" bestFit="1" customWidth="1"/>
    <col min="9218" max="9219" width="12.85546875" style="203" bestFit="1" customWidth="1"/>
    <col min="9220" max="9220" width="11.42578125" style="203" customWidth="1"/>
    <col min="9221" max="9221" width="14.7109375" style="203" customWidth="1"/>
    <col min="9222" max="9222" width="11.85546875" style="203" bestFit="1" customWidth="1"/>
    <col min="9223" max="9224" width="9.85546875" style="203" bestFit="1" customWidth="1"/>
    <col min="9225" max="9226" width="9.140625" style="203"/>
    <col min="9227" max="9227" width="11.7109375" style="203" bestFit="1" customWidth="1"/>
    <col min="9228" max="9461" width="9.140625" style="203"/>
    <col min="9462" max="9462" width="4.28515625" style="203" customWidth="1"/>
    <col min="9463" max="9463" width="10.5703125" style="203" customWidth="1"/>
    <col min="9464" max="9464" width="12" style="203" customWidth="1"/>
    <col min="9465" max="9465" width="8.7109375" style="203" customWidth="1"/>
    <col min="9466" max="9466" width="7.28515625" style="203" customWidth="1"/>
    <col min="9467" max="9467" width="14.42578125" style="203" customWidth="1"/>
    <col min="9468" max="9468" width="7.140625" style="203" customWidth="1"/>
    <col min="9469" max="9469" width="7" style="203" customWidth="1"/>
    <col min="9470" max="9470" width="11.7109375" style="203" customWidth="1"/>
    <col min="9471" max="9471" width="10.140625" style="203" customWidth="1"/>
    <col min="9472" max="9472" width="10.140625" style="203" bestFit="1" customWidth="1"/>
    <col min="9473" max="9473" width="14.5703125" style="203" bestFit="1" customWidth="1"/>
    <col min="9474" max="9475" width="12.85546875" style="203" bestFit="1" customWidth="1"/>
    <col min="9476" max="9476" width="11.42578125" style="203" customWidth="1"/>
    <col min="9477" max="9477" width="14.7109375" style="203" customWidth="1"/>
    <col min="9478" max="9478" width="11.85546875" style="203" bestFit="1" customWidth="1"/>
    <col min="9479" max="9480" width="9.85546875" style="203" bestFit="1" customWidth="1"/>
    <col min="9481" max="9482" width="9.140625" style="203"/>
    <col min="9483" max="9483" width="11.7109375" style="203" bestFit="1" customWidth="1"/>
    <col min="9484" max="9717" width="9.140625" style="203"/>
    <col min="9718" max="9718" width="4.28515625" style="203" customWidth="1"/>
    <col min="9719" max="9719" width="10.5703125" style="203" customWidth="1"/>
    <col min="9720" max="9720" width="12" style="203" customWidth="1"/>
    <col min="9721" max="9721" width="8.7109375" style="203" customWidth="1"/>
    <col min="9722" max="9722" width="7.28515625" style="203" customWidth="1"/>
    <col min="9723" max="9723" width="14.42578125" style="203" customWidth="1"/>
    <col min="9724" max="9724" width="7.140625" style="203" customWidth="1"/>
    <col min="9725" max="9725" width="7" style="203" customWidth="1"/>
    <col min="9726" max="9726" width="11.7109375" style="203" customWidth="1"/>
    <col min="9727" max="9727" width="10.140625" style="203" customWidth="1"/>
    <col min="9728" max="9728" width="10.140625" style="203" bestFit="1" customWidth="1"/>
    <col min="9729" max="9729" width="14.5703125" style="203" bestFit="1" customWidth="1"/>
    <col min="9730" max="9731" width="12.85546875" style="203" bestFit="1" customWidth="1"/>
    <col min="9732" max="9732" width="11.42578125" style="203" customWidth="1"/>
    <col min="9733" max="9733" width="14.7109375" style="203" customWidth="1"/>
    <col min="9734" max="9734" width="11.85546875" style="203" bestFit="1" customWidth="1"/>
    <col min="9735" max="9736" width="9.85546875" style="203" bestFit="1" customWidth="1"/>
    <col min="9737" max="9738" width="9.140625" style="203"/>
    <col min="9739" max="9739" width="11.7109375" style="203" bestFit="1" customWidth="1"/>
    <col min="9740" max="9973" width="9.140625" style="203"/>
    <col min="9974" max="9974" width="4.28515625" style="203" customWidth="1"/>
    <col min="9975" max="9975" width="10.5703125" style="203" customWidth="1"/>
    <col min="9976" max="9976" width="12" style="203" customWidth="1"/>
    <col min="9977" max="9977" width="8.7109375" style="203" customWidth="1"/>
    <col min="9978" max="9978" width="7.28515625" style="203" customWidth="1"/>
    <col min="9979" max="9979" width="14.42578125" style="203" customWidth="1"/>
    <col min="9980" max="9980" width="7.140625" style="203" customWidth="1"/>
    <col min="9981" max="9981" width="7" style="203" customWidth="1"/>
    <col min="9982" max="9982" width="11.7109375" style="203" customWidth="1"/>
    <col min="9983" max="9983" width="10.140625" style="203" customWidth="1"/>
    <col min="9984" max="9984" width="10.140625" style="203" bestFit="1" customWidth="1"/>
    <col min="9985" max="9985" width="14.5703125" style="203" bestFit="1" customWidth="1"/>
    <col min="9986" max="9987" width="12.85546875" style="203" bestFit="1" customWidth="1"/>
    <col min="9988" max="9988" width="11.42578125" style="203" customWidth="1"/>
    <col min="9989" max="9989" width="14.7109375" style="203" customWidth="1"/>
    <col min="9990" max="9990" width="11.85546875" style="203" bestFit="1" customWidth="1"/>
    <col min="9991" max="9992" width="9.85546875" style="203" bestFit="1" customWidth="1"/>
    <col min="9993" max="9994" width="9.140625" style="203"/>
    <col min="9995" max="9995" width="11.7109375" style="203" bestFit="1" customWidth="1"/>
    <col min="9996" max="10229" width="9.140625" style="203"/>
    <col min="10230" max="10230" width="4.28515625" style="203" customWidth="1"/>
    <col min="10231" max="10231" width="10.5703125" style="203" customWidth="1"/>
    <col min="10232" max="10232" width="12" style="203" customWidth="1"/>
    <col min="10233" max="10233" width="8.7109375" style="203" customWidth="1"/>
    <col min="10234" max="10234" width="7.28515625" style="203" customWidth="1"/>
    <col min="10235" max="10235" width="14.42578125" style="203" customWidth="1"/>
    <col min="10236" max="10236" width="7.140625" style="203" customWidth="1"/>
    <col min="10237" max="10237" width="7" style="203" customWidth="1"/>
    <col min="10238" max="10238" width="11.7109375" style="203" customWidth="1"/>
    <col min="10239" max="10239" width="10.140625" style="203" customWidth="1"/>
    <col min="10240" max="10240" width="10.140625" style="203" bestFit="1" customWidth="1"/>
    <col min="10241" max="10241" width="14.5703125" style="203" bestFit="1" customWidth="1"/>
    <col min="10242" max="10243" width="12.85546875" style="203" bestFit="1" customWidth="1"/>
    <col min="10244" max="10244" width="11.42578125" style="203" customWidth="1"/>
    <col min="10245" max="10245" width="14.7109375" style="203" customWidth="1"/>
    <col min="10246" max="10246" width="11.85546875" style="203" bestFit="1" customWidth="1"/>
    <col min="10247" max="10248" width="9.85546875" style="203" bestFit="1" customWidth="1"/>
    <col min="10249" max="10250" width="9.140625" style="203"/>
    <col min="10251" max="10251" width="11.7109375" style="203" bestFit="1" customWidth="1"/>
    <col min="10252" max="10485" width="9.140625" style="203"/>
    <col min="10486" max="10486" width="4.28515625" style="203" customWidth="1"/>
    <col min="10487" max="10487" width="10.5703125" style="203" customWidth="1"/>
    <col min="10488" max="10488" width="12" style="203" customWidth="1"/>
    <col min="10489" max="10489" width="8.7109375" style="203" customWidth="1"/>
    <col min="10490" max="10490" width="7.28515625" style="203" customWidth="1"/>
    <col min="10491" max="10491" width="14.42578125" style="203" customWidth="1"/>
    <col min="10492" max="10492" width="7.140625" style="203" customWidth="1"/>
    <col min="10493" max="10493" width="7" style="203" customWidth="1"/>
    <col min="10494" max="10494" width="11.7109375" style="203" customWidth="1"/>
    <col min="10495" max="10495" width="10.140625" style="203" customWidth="1"/>
    <col min="10496" max="10496" width="10.140625" style="203" bestFit="1" customWidth="1"/>
    <col min="10497" max="10497" width="14.5703125" style="203" bestFit="1" customWidth="1"/>
    <col min="10498" max="10499" width="12.85546875" style="203" bestFit="1" customWidth="1"/>
    <col min="10500" max="10500" width="11.42578125" style="203" customWidth="1"/>
    <col min="10501" max="10501" width="14.7109375" style="203" customWidth="1"/>
    <col min="10502" max="10502" width="11.85546875" style="203" bestFit="1" customWidth="1"/>
    <col min="10503" max="10504" width="9.85546875" style="203" bestFit="1" customWidth="1"/>
    <col min="10505" max="10506" width="9.140625" style="203"/>
    <col min="10507" max="10507" width="11.7109375" style="203" bestFit="1" customWidth="1"/>
    <col min="10508" max="10741" width="9.140625" style="203"/>
    <col min="10742" max="10742" width="4.28515625" style="203" customWidth="1"/>
    <col min="10743" max="10743" width="10.5703125" style="203" customWidth="1"/>
    <col min="10744" max="10744" width="12" style="203" customWidth="1"/>
    <col min="10745" max="10745" width="8.7109375" style="203" customWidth="1"/>
    <col min="10746" max="10746" width="7.28515625" style="203" customWidth="1"/>
    <col min="10747" max="10747" width="14.42578125" style="203" customWidth="1"/>
    <col min="10748" max="10748" width="7.140625" style="203" customWidth="1"/>
    <col min="10749" max="10749" width="7" style="203" customWidth="1"/>
    <col min="10750" max="10750" width="11.7109375" style="203" customWidth="1"/>
    <col min="10751" max="10751" width="10.140625" style="203" customWidth="1"/>
    <col min="10752" max="10752" width="10.140625" style="203" bestFit="1" customWidth="1"/>
    <col min="10753" max="10753" width="14.5703125" style="203" bestFit="1" customWidth="1"/>
    <col min="10754" max="10755" width="12.85546875" style="203" bestFit="1" customWidth="1"/>
    <col min="10756" max="10756" width="11.42578125" style="203" customWidth="1"/>
    <col min="10757" max="10757" width="14.7109375" style="203" customWidth="1"/>
    <col min="10758" max="10758" width="11.85546875" style="203" bestFit="1" customWidth="1"/>
    <col min="10759" max="10760" width="9.85546875" style="203" bestFit="1" customWidth="1"/>
    <col min="10761" max="10762" width="9.140625" style="203"/>
    <col min="10763" max="10763" width="11.7109375" style="203" bestFit="1" customWidth="1"/>
    <col min="10764" max="10997" width="9.140625" style="203"/>
    <col min="10998" max="10998" width="4.28515625" style="203" customWidth="1"/>
    <col min="10999" max="10999" width="10.5703125" style="203" customWidth="1"/>
    <col min="11000" max="11000" width="12" style="203" customWidth="1"/>
    <col min="11001" max="11001" width="8.7109375" style="203" customWidth="1"/>
    <col min="11002" max="11002" width="7.28515625" style="203" customWidth="1"/>
    <col min="11003" max="11003" width="14.42578125" style="203" customWidth="1"/>
    <col min="11004" max="11004" width="7.140625" style="203" customWidth="1"/>
    <col min="11005" max="11005" width="7" style="203" customWidth="1"/>
    <col min="11006" max="11006" width="11.7109375" style="203" customWidth="1"/>
    <col min="11007" max="11007" width="10.140625" style="203" customWidth="1"/>
    <col min="11008" max="11008" width="10.140625" style="203" bestFit="1" customWidth="1"/>
    <col min="11009" max="11009" width="14.5703125" style="203" bestFit="1" customWidth="1"/>
    <col min="11010" max="11011" width="12.85546875" style="203" bestFit="1" customWidth="1"/>
    <col min="11012" max="11012" width="11.42578125" style="203" customWidth="1"/>
    <col min="11013" max="11013" width="14.7109375" style="203" customWidth="1"/>
    <col min="11014" max="11014" width="11.85546875" style="203" bestFit="1" customWidth="1"/>
    <col min="11015" max="11016" width="9.85546875" style="203" bestFit="1" customWidth="1"/>
    <col min="11017" max="11018" width="9.140625" style="203"/>
    <col min="11019" max="11019" width="11.7109375" style="203" bestFit="1" customWidth="1"/>
    <col min="11020" max="11253" width="9.140625" style="203"/>
    <col min="11254" max="11254" width="4.28515625" style="203" customWidth="1"/>
    <col min="11255" max="11255" width="10.5703125" style="203" customWidth="1"/>
    <col min="11256" max="11256" width="12" style="203" customWidth="1"/>
    <col min="11257" max="11257" width="8.7109375" style="203" customWidth="1"/>
    <col min="11258" max="11258" width="7.28515625" style="203" customWidth="1"/>
    <col min="11259" max="11259" width="14.42578125" style="203" customWidth="1"/>
    <col min="11260" max="11260" width="7.140625" style="203" customWidth="1"/>
    <col min="11261" max="11261" width="7" style="203" customWidth="1"/>
    <col min="11262" max="11262" width="11.7109375" style="203" customWidth="1"/>
    <col min="11263" max="11263" width="10.140625" style="203" customWidth="1"/>
    <col min="11264" max="11264" width="10.140625" style="203" bestFit="1" customWidth="1"/>
    <col min="11265" max="11265" width="14.5703125" style="203" bestFit="1" customWidth="1"/>
    <col min="11266" max="11267" width="12.85546875" style="203" bestFit="1" customWidth="1"/>
    <col min="11268" max="11268" width="11.42578125" style="203" customWidth="1"/>
    <col min="11269" max="11269" width="14.7109375" style="203" customWidth="1"/>
    <col min="11270" max="11270" width="11.85546875" style="203" bestFit="1" customWidth="1"/>
    <col min="11271" max="11272" width="9.85546875" style="203" bestFit="1" customWidth="1"/>
    <col min="11273" max="11274" width="9.140625" style="203"/>
    <col min="11275" max="11275" width="11.7109375" style="203" bestFit="1" customWidth="1"/>
    <col min="11276" max="11509" width="9.140625" style="203"/>
    <col min="11510" max="11510" width="4.28515625" style="203" customWidth="1"/>
    <col min="11511" max="11511" width="10.5703125" style="203" customWidth="1"/>
    <col min="11512" max="11512" width="12" style="203" customWidth="1"/>
    <col min="11513" max="11513" width="8.7109375" style="203" customWidth="1"/>
    <col min="11514" max="11514" width="7.28515625" style="203" customWidth="1"/>
    <col min="11515" max="11515" width="14.42578125" style="203" customWidth="1"/>
    <col min="11516" max="11516" width="7.140625" style="203" customWidth="1"/>
    <col min="11517" max="11517" width="7" style="203" customWidth="1"/>
    <col min="11518" max="11518" width="11.7109375" style="203" customWidth="1"/>
    <col min="11519" max="11519" width="10.140625" style="203" customWidth="1"/>
    <col min="11520" max="11520" width="10.140625" style="203" bestFit="1" customWidth="1"/>
    <col min="11521" max="11521" width="14.5703125" style="203" bestFit="1" customWidth="1"/>
    <col min="11522" max="11523" width="12.85546875" style="203" bestFit="1" customWidth="1"/>
    <col min="11524" max="11524" width="11.42578125" style="203" customWidth="1"/>
    <col min="11525" max="11525" width="14.7109375" style="203" customWidth="1"/>
    <col min="11526" max="11526" width="11.85546875" style="203" bestFit="1" customWidth="1"/>
    <col min="11527" max="11528" width="9.85546875" style="203" bestFit="1" customWidth="1"/>
    <col min="11529" max="11530" width="9.140625" style="203"/>
    <col min="11531" max="11531" width="11.7109375" style="203" bestFit="1" customWidth="1"/>
    <col min="11532" max="11765" width="9.140625" style="203"/>
    <col min="11766" max="11766" width="4.28515625" style="203" customWidth="1"/>
    <col min="11767" max="11767" width="10.5703125" style="203" customWidth="1"/>
    <col min="11768" max="11768" width="12" style="203" customWidth="1"/>
    <col min="11769" max="11769" width="8.7109375" style="203" customWidth="1"/>
    <col min="11770" max="11770" width="7.28515625" style="203" customWidth="1"/>
    <col min="11771" max="11771" width="14.42578125" style="203" customWidth="1"/>
    <col min="11772" max="11772" width="7.140625" style="203" customWidth="1"/>
    <col min="11773" max="11773" width="7" style="203" customWidth="1"/>
    <col min="11774" max="11774" width="11.7109375" style="203" customWidth="1"/>
    <col min="11775" max="11775" width="10.140625" style="203" customWidth="1"/>
    <col min="11776" max="11776" width="10.140625" style="203" bestFit="1" customWidth="1"/>
    <col min="11777" max="11777" width="14.5703125" style="203" bestFit="1" customWidth="1"/>
    <col min="11778" max="11779" width="12.85546875" style="203" bestFit="1" customWidth="1"/>
    <col min="11780" max="11780" width="11.42578125" style="203" customWidth="1"/>
    <col min="11781" max="11781" width="14.7109375" style="203" customWidth="1"/>
    <col min="11782" max="11782" width="11.85546875" style="203" bestFit="1" customWidth="1"/>
    <col min="11783" max="11784" width="9.85546875" style="203" bestFit="1" customWidth="1"/>
    <col min="11785" max="11786" width="9.140625" style="203"/>
    <col min="11787" max="11787" width="11.7109375" style="203" bestFit="1" customWidth="1"/>
    <col min="11788" max="12021" width="9.140625" style="203"/>
    <col min="12022" max="12022" width="4.28515625" style="203" customWidth="1"/>
    <col min="12023" max="12023" width="10.5703125" style="203" customWidth="1"/>
    <col min="12024" max="12024" width="12" style="203" customWidth="1"/>
    <col min="12025" max="12025" width="8.7109375" style="203" customWidth="1"/>
    <col min="12026" max="12026" width="7.28515625" style="203" customWidth="1"/>
    <col min="12027" max="12027" width="14.42578125" style="203" customWidth="1"/>
    <col min="12028" max="12028" width="7.140625" style="203" customWidth="1"/>
    <col min="12029" max="12029" width="7" style="203" customWidth="1"/>
    <col min="12030" max="12030" width="11.7109375" style="203" customWidth="1"/>
    <col min="12031" max="12031" width="10.140625" style="203" customWidth="1"/>
    <col min="12032" max="12032" width="10.140625" style="203" bestFit="1" customWidth="1"/>
    <col min="12033" max="12033" width="14.5703125" style="203" bestFit="1" customWidth="1"/>
    <col min="12034" max="12035" width="12.85546875" style="203" bestFit="1" customWidth="1"/>
    <col min="12036" max="12036" width="11.42578125" style="203" customWidth="1"/>
    <col min="12037" max="12037" width="14.7109375" style="203" customWidth="1"/>
    <col min="12038" max="12038" width="11.85546875" style="203" bestFit="1" customWidth="1"/>
    <col min="12039" max="12040" width="9.85546875" style="203" bestFit="1" customWidth="1"/>
    <col min="12041" max="12042" width="9.140625" style="203"/>
    <col min="12043" max="12043" width="11.7109375" style="203" bestFit="1" customWidth="1"/>
    <col min="12044" max="12277" width="9.140625" style="203"/>
    <col min="12278" max="12278" width="4.28515625" style="203" customWidth="1"/>
    <col min="12279" max="12279" width="10.5703125" style="203" customWidth="1"/>
    <col min="12280" max="12280" width="12" style="203" customWidth="1"/>
    <col min="12281" max="12281" width="8.7109375" style="203" customWidth="1"/>
    <col min="12282" max="12282" width="7.28515625" style="203" customWidth="1"/>
    <col min="12283" max="12283" width="14.42578125" style="203" customWidth="1"/>
    <col min="12284" max="12284" width="7.140625" style="203" customWidth="1"/>
    <col min="12285" max="12285" width="7" style="203" customWidth="1"/>
    <col min="12286" max="12286" width="11.7109375" style="203" customWidth="1"/>
    <col min="12287" max="12287" width="10.140625" style="203" customWidth="1"/>
    <col min="12288" max="12288" width="10.140625" style="203" bestFit="1" customWidth="1"/>
    <col min="12289" max="12289" width="14.5703125" style="203" bestFit="1" customWidth="1"/>
    <col min="12290" max="12291" width="12.85546875" style="203" bestFit="1" customWidth="1"/>
    <col min="12292" max="12292" width="11.42578125" style="203" customWidth="1"/>
    <col min="12293" max="12293" width="14.7109375" style="203" customWidth="1"/>
    <col min="12294" max="12294" width="11.85546875" style="203" bestFit="1" customWidth="1"/>
    <col min="12295" max="12296" width="9.85546875" style="203" bestFit="1" customWidth="1"/>
    <col min="12297" max="12298" width="9.140625" style="203"/>
    <col min="12299" max="12299" width="11.7109375" style="203" bestFit="1" customWidth="1"/>
    <col min="12300" max="12533" width="9.140625" style="203"/>
    <col min="12534" max="12534" width="4.28515625" style="203" customWidth="1"/>
    <col min="12535" max="12535" width="10.5703125" style="203" customWidth="1"/>
    <col min="12536" max="12536" width="12" style="203" customWidth="1"/>
    <col min="12537" max="12537" width="8.7109375" style="203" customWidth="1"/>
    <col min="12538" max="12538" width="7.28515625" style="203" customWidth="1"/>
    <col min="12539" max="12539" width="14.42578125" style="203" customWidth="1"/>
    <col min="12540" max="12540" width="7.140625" style="203" customWidth="1"/>
    <col min="12541" max="12541" width="7" style="203" customWidth="1"/>
    <col min="12542" max="12542" width="11.7109375" style="203" customWidth="1"/>
    <col min="12543" max="12543" width="10.140625" style="203" customWidth="1"/>
    <col min="12544" max="12544" width="10.140625" style="203" bestFit="1" customWidth="1"/>
    <col min="12545" max="12545" width="14.5703125" style="203" bestFit="1" customWidth="1"/>
    <col min="12546" max="12547" width="12.85546875" style="203" bestFit="1" customWidth="1"/>
    <col min="12548" max="12548" width="11.42578125" style="203" customWidth="1"/>
    <col min="12549" max="12549" width="14.7109375" style="203" customWidth="1"/>
    <col min="12550" max="12550" width="11.85546875" style="203" bestFit="1" customWidth="1"/>
    <col min="12551" max="12552" width="9.85546875" style="203" bestFit="1" customWidth="1"/>
    <col min="12553" max="12554" width="9.140625" style="203"/>
    <col min="12555" max="12555" width="11.7109375" style="203" bestFit="1" customWidth="1"/>
    <col min="12556" max="12789" width="9.140625" style="203"/>
    <col min="12790" max="12790" width="4.28515625" style="203" customWidth="1"/>
    <col min="12791" max="12791" width="10.5703125" style="203" customWidth="1"/>
    <col min="12792" max="12792" width="12" style="203" customWidth="1"/>
    <col min="12793" max="12793" width="8.7109375" style="203" customWidth="1"/>
    <col min="12794" max="12794" width="7.28515625" style="203" customWidth="1"/>
    <col min="12795" max="12795" width="14.42578125" style="203" customWidth="1"/>
    <col min="12796" max="12796" width="7.140625" style="203" customWidth="1"/>
    <col min="12797" max="12797" width="7" style="203" customWidth="1"/>
    <col min="12798" max="12798" width="11.7109375" style="203" customWidth="1"/>
    <col min="12799" max="12799" width="10.140625" style="203" customWidth="1"/>
    <col min="12800" max="12800" width="10.140625" style="203" bestFit="1" customWidth="1"/>
    <col min="12801" max="12801" width="14.5703125" style="203" bestFit="1" customWidth="1"/>
    <col min="12802" max="12803" width="12.85546875" style="203" bestFit="1" customWidth="1"/>
    <col min="12804" max="12804" width="11.42578125" style="203" customWidth="1"/>
    <col min="12805" max="12805" width="14.7109375" style="203" customWidth="1"/>
    <col min="12806" max="12806" width="11.85546875" style="203" bestFit="1" customWidth="1"/>
    <col min="12807" max="12808" width="9.85546875" style="203" bestFit="1" customWidth="1"/>
    <col min="12809" max="12810" width="9.140625" style="203"/>
    <col min="12811" max="12811" width="11.7109375" style="203" bestFit="1" customWidth="1"/>
    <col min="12812" max="13045" width="9.140625" style="203"/>
    <col min="13046" max="13046" width="4.28515625" style="203" customWidth="1"/>
    <col min="13047" max="13047" width="10.5703125" style="203" customWidth="1"/>
    <col min="13048" max="13048" width="12" style="203" customWidth="1"/>
    <col min="13049" max="13049" width="8.7109375" style="203" customWidth="1"/>
    <col min="13050" max="13050" width="7.28515625" style="203" customWidth="1"/>
    <col min="13051" max="13051" width="14.42578125" style="203" customWidth="1"/>
    <col min="13052" max="13052" width="7.140625" style="203" customWidth="1"/>
    <col min="13053" max="13053" width="7" style="203" customWidth="1"/>
    <col min="13054" max="13054" width="11.7109375" style="203" customWidth="1"/>
    <col min="13055" max="13055" width="10.140625" style="203" customWidth="1"/>
    <col min="13056" max="13056" width="10.140625" style="203" bestFit="1" customWidth="1"/>
    <col min="13057" max="13057" width="14.5703125" style="203" bestFit="1" customWidth="1"/>
    <col min="13058" max="13059" width="12.85546875" style="203" bestFit="1" customWidth="1"/>
    <col min="13060" max="13060" width="11.42578125" style="203" customWidth="1"/>
    <col min="13061" max="13061" width="14.7109375" style="203" customWidth="1"/>
    <col min="13062" max="13062" width="11.85546875" style="203" bestFit="1" customWidth="1"/>
    <col min="13063" max="13064" width="9.85546875" style="203" bestFit="1" customWidth="1"/>
    <col min="13065" max="13066" width="9.140625" style="203"/>
    <col min="13067" max="13067" width="11.7109375" style="203" bestFit="1" customWidth="1"/>
    <col min="13068" max="13301" width="9.140625" style="203"/>
    <col min="13302" max="13302" width="4.28515625" style="203" customWidth="1"/>
    <col min="13303" max="13303" width="10.5703125" style="203" customWidth="1"/>
    <col min="13304" max="13304" width="12" style="203" customWidth="1"/>
    <col min="13305" max="13305" width="8.7109375" style="203" customWidth="1"/>
    <col min="13306" max="13306" width="7.28515625" style="203" customWidth="1"/>
    <col min="13307" max="13307" width="14.42578125" style="203" customWidth="1"/>
    <col min="13308" max="13308" width="7.140625" style="203" customWidth="1"/>
    <col min="13309" max="13309" width="7" style="203" customWidth="1"/>
    <col min="13310" max="13310" width="11.7109375" style="203" customWidth="1"/>
    <col min="13311" max="13311" width="10.140625" style="203" customWidth="1"/>
    <col min="13312" max="13312" width="10.140625" style="203" bestFit="1" customWidth="1"/>
    <col min="13313" max="13313" width="14.5703125" style="203" bestFit="1" customWidth="1"/>
    <col min="13314" max="13315" width="12.85546875" style="203" bestFit="1" customWidth="1"/>
    <col min="13316" max="13316" width="11.42578125" style="203" customWidth="1"/>
    <col min="13317" max="13317" width="14.7109375" style="203" customWidth="1"/>
    <col min="13318" max="13318" width="11.85546875" style="203" bestFit="1" customWidth="1"/>
    <col min="13319" max="13320" width="9.85546875" style="203" bestFit="1" customWidth="1"/>
    <col min="13321" max="13322" width="9.140625" style="203"/>
    <col min="13323" max="13323" width="11.7109375" style="203" bestFit="1" customWidth="1"/>
    <col min="13324" max="13557" width="9.140625" style="203"/>
    <col min="13558" max="13558" width="4.28515625" style="203" customWidth="1"/>
    <col min="13559" max="13559" width="10.5703125" style="203" customWidth="1"/>
    <col min="13560" max="13560" width="12" style="203" customWidth="1"/>
    <col min="13561" max="13561" width="8.7109375" style="203" customWidth="1"/>
    <col min="13562" max="13562" width="7.28515625" style="203" customWidth="1"/>
    <col min="13563" max="13563" width="14.42578125" style="203" customWidth="1"/>
    <col min="13564" max="13564" width="7.140625" style="203" customWidth="1"/>
    <col min="13565" max="13565" width="7" style="203" customWidth="1"/>
    <col min="13566" max="13566" width="11.7109375" style="203" customWidth="1"/>
    <col min="13567" max="13567" width="10.140625" style="203" customWidth="1"/>
    <col min="13568" max="13568" width="10.140625" style="203" bestFit="1" customWidth="1"/>
    <col min="13569" max="13569" width="14.5703125" style="203" bestFit="1" customWidth="1"/>
    <col min="13570" max="13571" width="12.85546875" style="203" bestFit="1" customWidth="1"/>
    <col min="13572" max="13572" width="11.42578125" style="203" customWidth="1"/>
    <col min="13573" max="13573" width="14.7109375" style="203" customWidth="1"/>
    <col min="13574" max="13574" width="11.85546875" style="203" bestFit="1" customWidth="1"/>
    <col min="13575" max="13576" width="9.85546875" style="203" bestFit="1" customWidth="1"/>
    <col min="13577" max="13578" width="9.140625" style="203"/>
    <col min="13579" max="13579" width="11.7109375" style="203" bestFit="1" customWidth="1"/>
    <col min="13580" max="13813" width="9.140625" style="203"/>
    <col min="13814" max="13814" width="4.28515625" style="203" customWidth="1"/>
    <col min="13815" max="13815" width="10.5703125" style="203" customWidth="1"/>
    <col min="13816" max="13816" width="12" style="203" customWidth="1"/>
    <col min="13817" max="13817" width="8.7109375" style="203" customWidth="1"/>
    <col min="13818" max="13818" width="7.28515625" style="203" customWidth="1"/>
    <col min="13819" max="13819" width="14.42578125" style="203" customWidth="1"/>
    <col min="13820" max="13820" width="7.140625" style="203" customWidth="1"/>
    <col min="13821" max="13821" width="7" style="203" customWidth="1"/>
    <col min="13822" max="13822" width="11.7109375" style="203" customWidth="1"/>
    <col min="13823" max="13823" width="10.140625" style="203" customWidth="1"/>
    <col min="13824" max="13824" width="10.140625" style="203" bestFit="1" customWidth="1"/>
    <col min="13825" max="13825" width="14.5703125" style="203" bestFit="1" customWidth="1"/>
    <col min="13826" max="13827" width="12.85546875" style="203" bestFit="1" customWidth="1"/>
    <col min="13828" max="13828" width="11.42578125" style="203" customWidth="1"/>
    <col min="13829" max="13829" width="14.7109375" style="203" customWidth="1"/>
    <col min="13830" max="13830" width="11.85546875" style="203" bestFit="1" customWidth="1"/>
    <col min="13831" max="13832" width="9.85546875" style="203" bestFit="1" customWidth="1"/>
    <col min="13833" max="13834" width="9.140625" style="203"/>
    <col min="13835" max="13835" width="11.7109375" style="203" bestFit="1" customWidth="1"/>
    <col min="13836" max="14069" width="9.140625" style="203"/>
    <col min="14070" max="14070" width="4.28515625" style="203" customWidth="1"/>
    <col min="14071" max="14071" width="10.5703125" style="203" customWidth="1"/>
    <col min="14072" max="14072" width="12" style="203" customWidth="1"/>
    <col min="14073" max="14073" width="8.7109375" style="203" customWidth="1"/>
    <col min="14074" max="14074" width="7.28515625" style="203" customWidth="1"/>
    <col min="14075" max="14075" width="14.42578125" style="203" customWidth="1"/>
    <col min="14076" max="14076" width="7.140625" style="203" customWidth="1"/>
    <col min="14077" max="14077" width="7" style="203" customWidth="1"/>
    <col min="14078" max="14078" width="11.7109375" style="203" customWidth="1"/>
    <col min="14079" max="14079" width="10.140625" style="203" customWidth="1"/>
    <col min="14080" max="14080" width="10.140625" style="203" bestFit="1" customWidth="1"/>
    <col min="14081" max="14081" width="14.5703125" style="203" bestFit="1" customWidth="1"/>
    <col min="14082" max="14083" width="12.85546875" style="203" bestFit="1" customWidth="1"/>
    <col min="14084" max="14084" width="11.42578125" style="203" customWidth="1"/>
    <col min="14085" max="14085" width="14.7109375" style="203" customWidth="1"/>
    <col min="14086" max="14086" width="11.85546875" style="203" bestFit="1" customWidth="1"/>
    <col min="14087" max="14088" width="9.85546875" style="203" bestFit="1" customWidth="1"/>
    <col min="14089" max="14090" width="9.140625" style="203"/>
    <col min="14091" max="14091" width="11.7109375" style="203" bestFit="1" customWidth="1"/>
    <col min="14092" max="14325" width="9.140625" style="203"/>
    <col min="14326" max="14326" width="4.28515625" style="203" customWidth="1"/>
    <col min="14327" max="14327" width="10.5703125" style="203" customWidth="1"/>
    <col min="14328" max="14328" width="12" style="203" customWidth="1"/>
    <col min="14329" max="14329" width="8.7109375" style="203" customWidth="1"/>
    <col min="14330" max="14330" width="7.28515625" style="203" customWidth="1"/>
    <col min="14331" max="14331" width="14.42578125" style="203" customWidth="1"/>
    <col min="14332" max="14332" width="7.140625" style="203" customWidth="1"/>
    <col min="14333" max="14333" width="7" style="203" customWidth="1"/>
    <col min="14334" max="14334" width="11.7109375" style="203" customWidth="1"/>
    <col min="14335" max="14335" width="10.140625" style="203" customWidth="1"/>
    <col min="14336" max="14336" width="10.140625" style="203" bestFit="1" customWidth="1"/>
    <col min="14337" max="14337" width="14.5703125" style="203" bestFit="1" customWidth="1"/>
    <col min="14338" max="14339" width="12.85546875" style="203" bestFit="1" customWidth="1"/>
    <col min="14340" max="14340" width="11.42578125" style="203" customWidth="1"/>
    <col min="14341" max="14341" width="14.7109375" style="203" customWidth="1"/>
    <col min="14342" max="14342" width="11.85546875" style="203" bestFit="1" customWidth="1"/>
    <col min="14343" max="14344" width="9.85546875" style="203" bestFit="1" customWidth="1"/>
    <col min="14345" max="14346" width="9.140625" style="203"/>
    <col min="14347" max="14347" width="11.7109375" style="203" bestFit="1" customWidth="1"/>
    <col min="14348" max="14581" width="9.140625" style="203"/>
    <col min="14582" max="14582" width="4.28515625" style="203" customWidth="1"/>
    <col min="14583" max="14583" width="10.5703125" style="203" customWidth="1"/>
    <col min="14584" max="14584" width="12" style="203" customWidth="1"/>
    <col min="14585" max="14585" width="8.7109375" style="203" customWidth="1"/>
    <col min="14586" max="14586" width="7.28515625" style="203" customWidth="1"/>
    <col min="14587" max="14587" width="14.42578125" style="203" customWidth="1"/>
    <col min="14588" max="14588" width="7.140625" style="203" customWidth="1"/>
    <col min="14589" max="14589" width="7" style="203" customWidth="1"/>
    <col min="14590" max="14590" width="11.7109375" style="203" customWidth="1"/>
    <col min="14591" max="14591" width="10.140625" style="203" customWidth="1"/>
    <col min="14592" max="14592" width="10.140625" style="203" bestFit="1" customWidth="1"/>
    <col min="14593" max="14593" width="14.5703125" style="203" bestFit="1" customWidth="1"/>
    <col min="14594" max="14595" width="12.85546875" style="203" bestFit="1" customWidth="1"/>
    <col min="14596" max="14596" width="11.42578125" style="203" customWidth="1"/>
    <col min="14597" max="14597" width="14.7109375" style="203" customWidth="1"/>
    <col min="14598" max="14598" width="11.85546875" style="203" bestFit="1" customWidth="1"/>
    <col min="14599" max="14600" width="9.85546875" style="203" bestFit="1" customWidth="1"/>
    <col min="14601" max="14602" width="9.140625" style="203"/>
    <col min="14603" max="14603" width="11.7109375" style="203" bestFit="1" customWidth="1"/>
    <col min="14604" max="14837" width="9.140625" style="203"/>
    <col min="14838" max="14838" width="4.28515625" style="203" customWidth="1"/>
    <col min="14839" max="14839" width="10.5703125" style="203" customWidth="1"/>
    <col min="14840" max="14840" width="12" style="203" customWidth="1"/>
    <col min="14841" max="14841" width="8.7109375" style="203" customWidth="1"/>
    <col min="14842" max="14842" width="7.28515625" style="203" customWidth="1"/>
    <col min="14843" max="14843" width="14.42578125" style="203" customWidth="1"/>
    <col min="14844" max="14844" width="7.140625" style="203" customWidth="1"/>
    <col min="14845" max="14845" width="7" style="203" customWidth="1"/>
    <col min="14846" max="14846" width="11.7109375" style="203" customWidth="1"/>
    <col min="14847" max="14847" width="10.140625" style="203" customWidth="1"/>
    <col min="14848" max="14848" width="10.140625" style="203" bestFit="1" customWidth="1"/>
    <col min="14849" max="14849" width="14.5703125" style="203" bestFit="1" customWidth="1"/>
    <col min="14850" max="14851" width="12.85546875" style="203" bestFit="1" customWidth="1"/>
    <col min="14852" max="14852" width="11.42578125" style="203" customWidth="1"/>
    <col min="14853" max="14853" width="14.7109375" style="203" customWidth="1"/>
    <col min="14854" max="14854" width="11.85546875" style="203" bestFit="1" customWidth="1"/>
    <col min="14855" max="14856" width="9.85546875" style="203" bestFit="1" customWidth="1"/>
    <col min="14857" max="14858" width="9.140625" style="203"/>
    <col min="14859" max="14859" width="11.7109375" style="203" bestFit="1" customWidth="1"/>
    <col min="14860" max="15093" width="9.140625" style="203"/>
    <col min="15094" max="15094" width="4.28515625" style="203" customWidth="1"/>
    <col min="15095" max="15095" width="10.5703125" style="203" customWidth="1"/>
    <col min="15096" max="15096" width="12" style="203" customWidth="1"/>
    <col min="15097" max="15097" width="8.7109375" style="203" customWidth="1"/>
    <col min="15098" max="15098" width="7.28515625" style="203" customWidth="1"/>
    <col min="15099" max="15099" width="14.42578125" style="203" customWidth="1"/>
    <col min="15100" max="15100" width="7.140625" style="203" customWidth="1"/>
    <col min="15101" max="15101" width="7" style="203" customWidth="1"/>
    <col min="15102" max="15102" width="11.7109375" style="203" customWidth="1"/>
    <col min="15103" max="15103" width="10.140625" style="203" customWidth="1"/>
    <col min="15104" max="15104" width="10.140625" style="203" bestFit="1" customWidth="1"/>
    <col min="15105" max="15105" width="14.5703125" style="203" bestFit="1" customWidth="1"/>
    <col min="15106" max="15107" width="12.85546875" style="203" bestFit="1" customWidth="1"/>
    <col min="15108" max="15108" width="11.42578125" style="203" customWidth="1"/>
    <col min="15109" max="15109" width="14.7109375" style="203" customWidth="1"/>
    <col min="15110" max="15110" width="11.85546875" style="203" bestFit="1" customWidth="1"/>
    <col min="15111" max="15112" width="9.85546875" style="203" bestFit="1" customWidth="1"/>
    <col min="15113" max="15114" width="9.140625" style="203"/>
    <col min="15115" max="15115" width="11.7109375" style="203" bestFit="1" customWidth="1"/>
    <col min="15116" max="15349" width="9.140625" style="203"/>
    <col min="15350" max="15350" width="4.28515625" style="203" customWidth="1"/>
    <col min="15351" max="15351" width="10.5703125" style="203" customWidth="1"/>
    <col min="15352" max="15352" width="12" style="203" customWidth="1"/>
    <col min="15353" max="15353" width="8.7109375" style="203" customWidth="1"/>
    <col min="15354" max="15354" width="7.28515625" style="203" customWidth="1"/>
    <col min="15355" max="15355" width="14.42578125" style="203" customWidth="1"/>
    <col min="15356" max="15356" width="7.140625" style="203" customWidth="1"/>
    <col min="15357" max="15357" width="7" style="203" customWidth="1"/>
    <col min="15358" max="15358" width="11.7109375" style="203" customWidth="1"/>
    <col min="15359" max="15359" width="10.140625" style="203" customWidth="1"/>
    <col min="15360" max="15360" width="10.140625" style="203" bestFit="1" customWidth="1"/>
    <col min="15361" max="15361" width="14.5703125" style="203" bestFit="1" customWidth="1"/>
    <col min="15362" max="15363" width="12.85546875" style="203" bestFit="1" customWidth="1"/>
    <col min="15364" max="15364" width="11.42578125" style="203" customWidth="1"/>
    <col min="15365" max="15365" width="14.7109375" style="203" customWidth="1"/>
    <col min="15366" max="15366" width="11.85546875" style="203" bestFit="1" customWidth="1"/>
    <col min="15367" max="15368" width="9.85546875" style="203" bestFit="1" customWidth="1"/>
    <col min="15369" max="15370" width="9.140625" style="203"/>
    <col min="15371" max="15371" width="11.7109375" style="203" bestFit="1" customWidth="1"/>
    <col min="15372" max="15605" width="9.140625" style="203"/>
    <col min="15606" max="15606" width="4.28515625" style="203" customWidth="1"/>
    <col min="15607" max="15607" width="10.5703125" style="203" customWidth="1"/>
    <col min="15608" max="15608" width="12" style="203" customWidth="1"/>
    <col min="15609" max="15609" width="8.7109375" style="203" customWidth="1"/>
    <col min="15610" max="15610" width="7.28515625" style="203" customWidth="1"/>
    <col min="15611" max="15611" width="14.42578125" style="203" customWidth="1"/>
    <col min="15612" max="15612" width="7.140625" style="203" customWidth="1"/>
    <col min="15613" max="15613" width="7" style="203" customWidth="1"/>
    <col min="15614" max="15614" width="11.7109375" style="203" customWidth="1"/>
    <col min="15615" max="15615" width="10.140625" style="203" customWidth="1"/>
    <col min="15616" max="15616" width="10.140625" style="203" bestFit="1" customWidth="1"/>
    <col min="15617" max="15617" width="14.5703125" style="203" bestFit="1" customWidth="1"/>
    <col min="15618" max="15619" width="12.85546875" style="203" bestFit="1" customWidth="1"/>
    <col min="15620" max="15620" width="11.42578125" style="203" customWidth="1"/>
    <col min="15621" max="15621" width="14.7109375" style="203" customWidth="1"/>
    <col min="15622" max="15622" width="11.85546875" style="203" bestFit="1" customWidth="1"/>
    <col min="15623" max="15624" width="9.85546875" style="203" bestFit="1" customWidth="1"/>
    <col min="15625" max="15626" width="9.140625" style="203"/>
    <col min="15627" max="15627" width="11.7109375" style="203" bestFit="1" customWidth="1"/>
    <col min="15628" max="15861" width="9.140625" style="203"/>
    <col min="15862" max="15862" width="4.28515625" style="203" customWidth="1"/>
    <col min="15863" max="15863" width="10.5703125" style="203" customWidth="1"/>
    <col min="15864" max="15864" width="12" style="203" customWidth="1"/>
    <col min="15865" max="15865" width="8.7109375" style="203" customWidth="1"/>
    <col min="15866" max="15866" width="7.28515625" style="203" customWidth="1"/>
    <col min="15867" max="15867" width="14.42578125" style="203" customWidth="1"/>
    <col min="15868" max="15868" width="7.140625" style="203" customWidth="1"/>
    <col min="15869" max="15869" width="7" style="203" customWidth="1"/>
    <col min="15870" max="15870" width="11.7109375" style="203" customWidth="1"/>
    <col min="15871" max="15871" width="10.140625" style="203" customWidth="1"/>
    <col min="15872" max="15872" width="10.140625" style="203" bestFit="1" customWidth="1"/>
    <col min="15873" max="15873" width="14.5703125" style="203" bestFit="1" customWidth="1"/>
    <col min="15874" max="15875" width="12.85546875" style="203" bestFit="1" customWidth="1"/>
    <col min="15876" max="15876" width="11.42578125" style="203" customWidth="1"/>
    <col min="15877" max="15877" width="14.7109375" style="203" customWidth="1"/>
    <col min="15878" max="15878" width="11.85546875" style="203" bestFit="1" customWidth="1"/>
    <col min="15879" max="15880" width="9.85546875" style="203" bestFit="1" customWidth="1"/>
    <col min="15881" max="15882" width="9.140625" style="203"/>
    <col min="15883" max="15883" width="11.7109375" style="203" bestFit="1" customWidth="1"/>
    <col min="15884" max="16117" width="9.140625" style="203"/>
    <col min="16118" max="16118" width="4.28515625" style="203" customWidth="1"/>
    <col min="16119" max="16119" width="10.5703125" style="203" customWidth="1"/>
    <col min="16120" max="16120" width="12" style="203" customWidth="1"/>
    <col min="16121" max="16121" width="8.7109375" style="203" customWidth="1"/>
    <col min="16122" max="16122" width="7.28515625" style="203" customWidth="1"/>
    <col min="16123" max="16123" width="14.42578125" style="203" customWidth="1"/>
    <col min="16124" max="16124" width="7.140625" style="203" customWidth="1"/>
    <col min="16125" max="16125" width="7" style="203" customWidth="1"/>
    <col min="16126" max="16126" width="11.7109375" style="203" customWidth="1"/>
    <col min="16127" max="16127" width="10.140625" style="203" customWidth="1"/>
    <col min="16128" max="16128" width="10.140625" style="203" bestFit="1" customWidth="1"/>
    <col min="16129" max="16129" width="14.5703125" style="203" bestFit="1" customWidth="1"/>
    <col min="16130" max="16131" width="12.85546875" style="203" bestFit="1" customWidth="1"/>
    <col min="16132" max="16132" width="11.42578125" style="203" customWidth="1"/>
    <col min="16133" max="16133" width="14.7109375" style="203" customWidth="1"/>
    <col min="16134" max="16134" width="11.85546875" style="203" bestFit="1" customWidth="1"/>
    <col min="16135" max="16136" width="9.85546875" style="203" bestFit="1" customWidth="1"/>
    <col min="16137" max="16138" width="9.140625" style="203"/>
    <col min="16139" max="16139" width="11.7109375" style="203" bestFit="1" customWidth="1"/>
    <col min="16140" max="16384" width="9.140625" style="203"/>
  </cols>
  <sheetData>
    <row r="1" spans="1:11" ht="31.5" customHeight="1" x14ac:dyDescent="0.25">
      <c r="A1" s="1142" t="s">
        <v>127</v>
      </c>
      <c r="B1" s="1142"/>
      <c r="C1" s="1142"/>
      <c r="D1" s="1142"/>
      <c r="E1" s="1142"/>
      <c r="F1" s="1142"/>
      <c r="G1" s="1142"/>
      <c r="H1" s="1142"/>
      <c r="I1" s="1142"/>
      <c r="K1" s="204"/>
    </row>
    <row r="2" spans="1:11" x14ac:dyDescent="0.25">
      <c r="A2" s="154"/>
      <c r="B2" s="154"/>
      <c r="C2" s="154"/>
      <c r="D2" s="154"/>
      <c r="E2" s="154"/>
      <c r="F2" s="154"/>
      <c r="G2" s="154"/>
      <c r="H2" s="154"/>
      <c r="I2" s="808" t="s">
        <v>412</v>
      </c>
      <c r="J2" s="799">
        <v>1.0369999999999999</v>
      </c>
      <c r="K2" s="204"/>
    </row>
    <row r="3" spans="1:11" ht="15.75" x14ac:dyDescent="0.25">
      <c r="A3" s="1192" t="s">
        <v>384</v>
      </c>
      <c r="B3" s="1192"/>
      <c r="C3" s="1192"/>
      <c r="D3" s="1192"/>
      <c r="E3" s="1192"/>
      <c r="F3" s="1192"/>
      <c r="G3" s="1192"/>
      <c r="H3" s="1192"/>
      <c r="I3" s="1192"/>
      <c r="K3" s="204"/>
    </row>
    <row r="4" spans="1:11" ht="15" customHeight="1" x14ac:dyDescent="0.25">
      <c r="A4" s="1144" t="str">
        <f>'СВОД смет'!A7:H7</f>
        <v>на 2020 год</v>
      </c>
      <c r="B4" s="1144"/>
      <c r="C4" s="1144"/>
      <c r="D4" s="1144"/>
      <c r="E4" s="1144"/>
      <c r="F4" s="1144"/>
      <c r="G4" s="1144"/>
      <c r="H4" s="1144"/>
      <c r="I4" s="1144"/>
      <c r="K4" s="204"/>
    </row>
    <row r="5" spans="1:11" ht="15" customHeight="1" x14ac:dyDescent="0.25">
      <c r="A5" s="159"/>
      <c r="B5" s="159"/>
      <c r="C5" s="159"/>
      <c r="D5" s="159"/>
      <c r="E5" s="159"/>
      <c r="F5" s="159"/>
      <c r="G5" s="159"/>
      <c r="H5" s="159"/>
      <c r="K5" s="204"/>
    </row>
    <row r="6" spans="1:11" x14ac:dyDescent="0.25">
      <c r="A6" s="1155" t="s">
        <v>399</v>
      </c>
      <c r="B6" s="1155"/>
      <c r="C6" s="1155"/>
      <c r="D6" s="1155"/>
      <c r="E6" s="1155"/>
      <c r="F6" s="1155"/>
      <c r="G6" s="1155"/>
      <c r="H6" s="1155"/>
      <c r="I6" s="1155"/>
    </row>
    <row r="7" spans="1:11" ht="24" customHeight="1" x14ac:dyDescent="0.25">
      <c r="A7" s="212" t="s">
        <v>258</v>
      </c>
      <c r="B7" s="733" t="s">
        <v>492</v>
      </c>
      <c r="C7" s="213" t="s">
        <v>343</v>
      </c>
      <c r="D7" s="212" t="s">
        <v>389</v>
      </c>
      <c r="E7" s="212" t="s">
        <v>817</v>
      </c>
      <c r="F7" s="727" t="s">
        <v>818</v>
      </c>
      <c r="G7" s="212" t="s">
        <v>430</v>
      </c>
      <c r="H7" s="254" t="s">
        <v>467</v>
      </c>
      <c r="I7" s="212" t="s">
        <v>402</v>
      </c>
      <c r="J7" s="251"/>
    </row>
    <row r="8" spans="1:11" x14ac:dyDescent="0.25">
      <c r="A8" s="191">
        <v>1</v>
      </c>
      <c r="B8" s="728">
        <v>2</v>
      </c>
      <c r="C8" s="191">
        <v>3</v>
      </c>
      <c r="D8" s="191">
        <v>4</v>
      </c>
      <c r="E8" s="191">
        <v>5</v>
      </c>
      <c r="F8" s="728">
        <v>6</v>
      </c>
      <c r="G8" s="220">
        <v>7</v>
      </c>
      <c r="H8" s="173">
        <v>8</v>
      </c>
      <c r="I8" s="245">
        <v>9</v>
      </c>
      <c r="J8" s="252"/>
    </row>
    <row r="9" spans="1:11" ht="24" x14ac:dyDescent="0.25">
      <c r="A9" s="191">
        <v>1</v>
      </c>
      <c r="B9" s="734" t="s">
        <v>812</v>
      </c>
      <c r="C9" s="178">
        <v>221</v>
      </c>
      <c r="D9" s="160"/>
      <c r="E9" s="256">
        <v>12</v>
      </c>
      <c r="F9" s="757">
        <v>2880</v>
      </c>
      <c r="G9" s="798">
        <v>1</v>
      </c>
      <c r="H9" s="255">
        <f t="shared" ref="H9:H14" si="0">E9*F9*G9</f>
        <v>34560</v>
      </c>
      <c r="I9" s="247">
        <f t="shared" ref="I9:I14" si="1">ROUND(H9/1000,1)</f>
        <v>34.6</v>
      </c>
      <c r="J9" s="253"/>
      <c r="K9" s="774"/>
    </row>
    <row r="10" spans="1:11" ht="24" x14ac:dyDescent="0.25">
      <c r="A10" s="191">
        <v>2</v>
      </c>
      <c r="B10" s="734" t="s">
        <v>813</v>
      </c>
      <c r="C10" s="160">
        <v>221</v>
      </c>
      <c r="D10" s="160"/>
      <c r="E10" s="749">
        <v>12</v>
      </c>
      <c r="F10" s="729">
        <v>500</v>
      </c>
      <c r="G10" s="798">
        <v>1</v>
      </c>
      <c r="H10" s="255">
        <f t="shared" si="0"/>
        <v>6000</v>
      </c>
      <c r="I10" s="247">
        <f t="shared" si="1"/>
        <v>6</v>
      </c>
      <c r="J10" s="253"/>
    </row>
    <row r="11" spans="1:11" ht="24" x14ac:dyDescent="0.25">
      <c r="A11" s="191">
        <v>3</v>
      </c>
      <c r="B11" s="734" t="s">
        <v>814</v>
      </c>
      <c r="C11" s="160">
        <v>221</v>
      </c>
      <c r="D11" s="160"/>
      <c r="E11" s="749">
        <v>12</v>
      </c>
      <c r="F11" s="729">
        <v>400</v>
      </c>
      <c r="G11" s="798">
        <v>1</v>
      </c>
      <c r="H11" s="255">
        <f t="shared" si="0"/>
        <v>4800</v>
      </c>
      <c r="I11" s="247">
        <f t="shared" si="1"/>
        <v>4.8</v>
      </c>
      <c r="J11" s="684"/>
    </row>
    <row r="12" spans="1:11" ht="24" x14ac:dyDescent="0.25">
      <c r="A12" s="672">
        <v>4</v>
      </c>
      <c r="B12" s="734" t="s">
        <v>815</v>
      </c>
      <c r="C12" s="671">
        <v>221</v>
      </c>
      <c r="D12" s="670"/>
      <c r="E12" s="256">
        <v>1</v>
      </c>
      <c r="F12" s="1001">
        <f>15000+2700</f>
        <v>17700</v>
      </c>
      <c r="G12" s="798">
        <v>1</v>
      </c>
      <c r="H12" s="999">
        <f t="shared" si="0"/>
        <v>17700</v>
      </c>
      <c r="I12" s="989">
        <f t="shared" si="1"/>
        <v>17.7</v>
      </c>
      <c r="J12" s="1000"/>
    </row>
    <row r="13" spans="1:11" ht="24" customHeight="1" x14ac:dyDescent="0.25">
      <c r="A13" s="191">
        <v>5</v>
      </c>
      <c r="B13" s="734" t="s">
        <v>816</v>
      </c>
      <c r="C13" s="178">
        <v>221</v>
      </c>
      <c r="D13" s="160"/>
      <c r="E13" s="256">
        <v>12</v>
      </c>
      <c r="F13" s="729">
        <v>25000</v>
      </c>
      <c r="G13" s="798">
        <v>1</v>
      </c>
      <c r="H13" s="255">
        <f t="shared" si="0"/>
        <v>300000</v>
      </c>
      <c r="I13" s="247">
        <f t="shared" si="1"/>
        <v>300</v>
      </c>
      <c r="J13" s="494"/>
    </row>
    <row r="14" spans="1:11" ht="24" x14ac:dyDescent="0.25">
      <c r="A14" s="191">
        <v>6</v>
      </c>
      <c r="B14" s="734" t="s">
        <v>431</v>
      </c>
      <c r="C14" s="178">
        <v>221</v>
      </c>
      <c r="D14" s="160"/>
      <c r="E14" s="256">
        <v>4</v>
      </c>
      <c r="F14" s="729">
        <v>3900</v>
      </c>
      <c r="G14" s="798">
        <v>1</v>
      </c>
      <c r="H14" s="255">
        <f t="shared" si="0"/>
        <v>15600</v>
      </c>
      <c r="I14" s="247">
        <f t="shared" si="1"/>
        <v>15.6</v>
      </c>
      <c r="J14" s="494"/>
    </row>
    <row r="15" spans="1:11" x14ac:dyDescent="0.25">
      <c r="A15" s="1242" t="s">
        <v>404</v>
      </c>
      <c r="B15" s="1243"/>
      <c r="C15" s="1243"/>
      <c r="D15" s="1243"/>
      <c r="E15" s="1243"/>
      <c r="F15" s="1243"/>
      <c r="G15" s="1243"/>
      <c r="H15" s="802">
        <f>SUM(H9:H14)</f>
        <v>378660</v>
      </c>
      <c r="I15" s="465">
        <f>SUM(I9:I14)</f>
        <v>378.70000000000005</v>
      </c>
      <c r="J15" s="1012"/>
    </row>
    <row r="17" spans="1:12" x14ac:dyDescent="0.25">
      <c r="A17" s="781" t="s">
        <v>432</v>
      </c>
      <c r="B17" s="781"/>
      <c r="C17" s="781"/>
      <c r="D17" s="781"/>
      <c r="E17" s="781"/>
      <c r="F17" s="781"/>
      <c r="G17" s="781"/>
      <c r="H17" s="781"/>
    </row>
    <row r="18" spans="1:12" ht="28.5" customHeight="1" x14ac:dyDescent="0.25">
      <c r="A18" s="212" t="s">
        <v>258</v>
      </c>
      <c r="B18" s="733" t="s">
        <v>492</v>
      </c>
      <c r="C18" s="213" t="s">
        <v>343</v>
      </c>
      <c r="D18" s="212" t="s">
        <v>389</v>
      </c>
      <c r="E18" s="212" t="s">
        <v>433</v>
      </c>
      <c r="F18" s="727" t="s">
        <v>434</v>
      </c>
      <c r="G18" s="254" t="s">
        <v>467</v>
      </c>
      <c r="H18" s="212" t="s">
        <v>402</v>
      </c>
    </row>
    <row r="19" spans="1:12" x14ac:dyDescent="0.25">
      <c r="A19" s="223">
        <v>1</v>
      </c>
      <c r="B19" s="741">
        <v>2</v>
      </c>
      <c r="C19" s="223">
        <v>3</v>
      </c>
      <c r="D19" s="223">
        <v>4</v>
      </c>
      <c r="E19" s="223">
        <v>5</v>
      </c>
      <c r="F19" s="741">
        <v>6</v>
      </c>
      <c r="G19" s="741">
        <v>7</v>
      </c>
      <c r="H19" s="223">
        <v>8</v>
      </c>
    </row>
    <row r="20" spans="1:12" ht="22.5" customHeight="1" x14ac:dyDescent="0.25">
      <c r="A20" s="191">
        <v>1</v>
      </c>
      <c r="B20" s="734" t="s">
        <v>435</v>
      </c>
      <c r="C20" s="178">
        <v>222</v>
      </c>
      <c r="D20" s="160">
        <v>500</v>
      </c>
      <c r="E20" s="989">
        <f>100+28+49</f>
        <v>177</v>
      </c>
      <c r="F20" s="746">
        <v>100</v>
      </c>
      <c r="G20" s="429">
        <f>ROUND(E20*F20,1)</f>
        <v>17700</v>
      </c>
      <c r="H20" s="979">
        <f>ROUND(E20*F20/1000,1)</f>
        <v>17.7</v>
      </c>
      <c r="I20" s="520"/>
    </row>
    <row r="21" spans="1:12" x14ac:dyDescent="0.25">
      <c r="A21" s="1242" t="s">
        <v>436</v>
      </c>
      <c r="B21" s="1243"/>
      <c r="C21" s="1243"/>
      <c r="D21" s="1243"/>
      <c r="E21" s="1243"/>
      <c r="F21" s="1244"/>
      <c r="G21" s="803">
        <f>SUM(G20:G20)</f>
        <v>17700</v>
      </c>
      <c r="H21" s="800">
        <f>SUM(H20:H20)</f>
        <v>17.7</v>
      </c>
      <c r="J21" s="231"/>
    </row>
    <row r="22" spans="1:12" x14ac:dyDescent="0.25">
      <c r="J22" s="218"/>
    </row>
    <row r="23" spans="1:12" x14ac:dyDescent="0.25">
      <c r="A23" s="1155" t="s">
        <v>442</v>
      </c>
      <c r="B23" s="1155"/>
      <c r="C23" s="1155"/>
      <c r="D23" s="1155"/>
      <c r="E23" s="1155"/>
      <c r="F23" s="1155"/>
      <c r="G23" s="1155"/>
      <c r="H23" s="1155"/>
      <c r="I23" s="1155"/>
    </row>
    <row r="24" spans="1:12" ht="24" customHeight="1" x14ac:dyDescent="0.25">
      <c r="A24" s="212" t="s">
        <v>258</v>
      </c>
      <c r="B24" s="733" t="s">
        <v>492</v>
      </c>
      <c r="C24" s="213" t="s">
        <v>343</v>
      </c>
      <c r="D24" s="212" t="s">
        <v>389</v>
      </c>
      <c r="E24" s="212" t="s">
        <v>411</v>
      </c>
      <c r="F24" s="727" t="s">
        <v>443</v>
      </c>
      <c r="G24" s="212" t="s">
        <v>430</v>
      </c>
      <c r="H24" s="254" t="s">
        <v>467</v>
      </c>
      <c r="I24" s="212" t="s">
        <v>402</v>
      </c>
      <c r="J24" s="228"/>
    </row>
    <row r="25" spans="1:12" x14ac:dyDescent="0.25">
      <c r="A25" s="191">
        <v>1</v>
      </c>
      <c r="B25" s="728">
        <v>2</v>
      </c>
      <c r="C25" s="191">
        <v>3</v>
      </c>
      <c r="D25" s="191">
        <v>4</v>
      </c>
      <c r="E25" s="191">
        <v>5</v>
      </c>
      <c r="F25" s="728">
        <v>6</v>
      </c>
      <c r="G25" s="191">
        <v>7</v>
      </c>
      <c r="H25" s="173">
        <v>8</v>
      </c>
      <c r="I25" s="191">
        <v>9</v>
      </c>
    </row>
    <row r="26" spans="1:12" ht="24" x14ac:dyDescent="0.25">
      <c r="A26" s="191">
        <v>1</v>
      </c>
      <c r="B26" s="750" t="s">
        <v>470</v>
      </c>
      <c r="C26" s="178">
        <v>225</v>
      </c>
      <c r="D26" s="233" t="s">
        <v>357</v>
      </c>
      <c r="E26" s="749">
        <v>0</v>
      </c>
      <c r="F26" s="729">
        <v>18900</v>
      </c>
      <c r="G26" s="809">
        <v>1</v>
      </c>
      <c r="H26" s="265">
        <f>E26*F26*G26</f>
        <v>0</v>
      </c>
      <c r="I26" s="247">
        <f>ROUND(H26/1000,1)</f>
        <v>0</v>
      </c>
      <c r="J26" s="494"/>
    </row>
    <row r="27" spans="1:12" x14ac:dyDescent="0.25">
      <c r="A27" s="1245" t="s">
        <v>444</v>
      </c>
      <c r="B27" s="1246"/>
      <c r="C27" s="1246"/>
      <c r="D27" s="1246"/>
      <c r="E27" s="1246"/>
      <c r="F27" s="1246"/>
      <c r="G27" s="1246"/>
      <c r="H27" s="814">
        <f>H26</f>
        <v>0</v>
      </c>
      <c r="I27" s="813">
        <f>I26</f>
        <v>0</v>
      </c>
      <c r="J27" s="584"/>
    </row>
    <row r="28" spans="1:12" ht="38.25" customHeight="1" x14ac:dyDescent="0.25">
      <c r="A28" s="212" t="s">
        <v>258</v>
      </c>
      <c r="B28" s="733" t="s">
        <v>492</v>
      </c>
      <c r="C28" s="213" t="s">
        <v>343</v>
      </c>
      <c r="D28" s="212" t="s">
        <v>389</v>
      </c>
      <c r="E28" s="212" t="s">
        <v>411</v>
      </c>
      <c r="F28" s="727" t="s">
        <v>819</v>
      </c>
      <c r="G28" s="727" t="s">
        <v>430</v>
      </c>
      <c r="H28" s="254" t="s">
        <v>467</v>
      </c>
      <c r="I28" s="212" t="s">
        <v>402</v>
      </c>
      <c r="J28" s="214"/>
    </row>
    <row r="29" spans="1:12" x14ac:dyDescent="0.25">
      <c r="A29" s="234">
        <v>1</v>
      </c>
      <c r="B29" s="755">
        <v>2</v>
      </c>
      <c r="C29" s="235">
        <v>3</v>
      </c>
      <c r="D29" s="234">
        <v>4</v>
      </c>
      <c r="E29" s="235">
        <v>5</v>
      </c>
      <c r="F29" s="756">
        <v>6</v>
      </c>
      <c r="G29" s="234">
        <v>7</v>
      </c>
      <c r="H29" s="173">
        <v>8</v>
      </c>
      <c r="I29" s="234">
        <v>8</v>
      </c>
      <c r="J29" s="218"/>
    </row>
    <row r="30" spans="1:12" ht="24" x14ac:dyDescent="0.25">
      <c r="A30" s="191">
        <v>1</v>
      </c>
      <c r="B30" s="734" t="s">
        <v>811</v>
      </c>
      <c r="C30" s="178">
        <v>225</v>
      </c>
      <c r="D30" s="160">
        <v>770</v>
      </c>
      <c r="E30" s="256"/>
      <c r="F30" s="757">
        <v>800</v>
      </c>
      <c r="G30" s="809">
        <f>J2</f>
        <v>1.0369999999999999</v>
      </c>
      <c r="H30" s="265">
        <f>E30*F30*G30*1.271</f>
        <v>0</v>
      </c>
      <c r="I30" s="247">
        <f t="shared" ref="I30:I33" si="2">ROUND(H30/1000,1)</f>
        <v>0</v>
      </c>
      <c r="K30" s="754"/>
      <c r="L30" s="236"/>
    </row>
    <row r="31" spans="1:12" ht="24" x14ac:dyDescent="0.25">
      <c r="A31" s="191">
        <v>2</v>
      </c>
      <c r="B31" s="734" t="s">
        <v>446</v>
      </c>
      <c r="C31" s="178">
        <v>225</v>
      </c>
      <c r="D31" s="160">
        <v>770</v>
      </c>
      <c r="E31" s="256">
        <v>2</v>
      </c>
      <c r="F31" s="729">
        <f>7000-550</f>
        <v>6450</v>
      </c>
      <c r="G31" s="809">
        <v>1</v>
      </c>
      <c r="H31" s="988">
        <f>E31*F31*G31-5591.75</f>
        <v>7308.25</v>
      </c>
      <c r="I31" s="989">
        <f t="shared" si="2"/>
        <v>7.3</v>
      </c>
      <c r="J31" s="1042">
        <v>-5.6</v>
      </c>
    </row>
    <row r="32" spans="1:12" ht="24" x14ac:dyDescent="0.25">
      <c r="A32" s="191">
        <v>3</v>
      </c>
      <c r="B32" s="734" t="s">
        <v>593</v>
      </c>
      <c r="C32" s="178">
        <v>225</v>
      </c>
      <c r="D32" s="160">
        <v>770</v>
      </c>
      <c r="E32" s="256">
        <v>1</v>
      </c>
      <c r="F32" s="729">
        <f>10000+5000</f>
        <v>15000</v>
      </c>
      <c r="G32" s="809">
        <v>1</v>
      </c>
      <c r="H32" s="988">
        <f>E32*F32*G32</f>
        <v>15000</v>
      </c>
      <c r="I32" s="989">
        <f t="shared" si="2"/>
        <v>15</v>
      </c>
      <c r="J32" s="230"/>
      <c r="K32" s="237"/>
    </row>
    <row r="33" spans="1:12" x14ac:dyDescent="0.25">
      <c r="A33" s="974">
        <v>4</v>
      </c>
      <c r="B33" s="977" t="s">
        <v>925</v>
      </c>
      <c r="C33" s="973">
        <v>225</v>
      </c>
      <c r="D33" s="975">
        <v>770</v>
      </c>
      <c r="E33" s="256">
        <v>2.25</v>
      </c>
      <c r="F33" s="729">
        <f>(4569.97*120%+26587.47*120%)/2</f>
        <v>18694.464</v>
      </c>
      <c r="G33" s="987">
        <v>1</v>
      </c>
      <c r="H33" s="988">
        <f>E33*F33*G33-19795.93</f>
        <v>22266.614000000001</v>
      </c>
      <c r="I33" s="989">
        <f t="shared" si="2"/>
        <v>22.3</v>
      </c>
      <c r="J33" s="841">
        <v>-19.8</v>
      </c>
      <c r="K33" s="841"/>
    </row>
    <row r="34" spans="1:12" x14ac:dyDescent="0.25">
      <c r="A34" s="1247" t="s">
        <v>447</v>
      </c>
      <c r="B34" s="1247"/>
      <c r="C34" s="1247"/>
      <c r="D34" s="1247"/>
      <c r="E34" s="1247"/>
      <c r="F34" s="1247"/>
      <c r="G34" s="1248"/>
      <c r="H34" s="812">
        <f>SUM(H30:H33)</f>
        <v>44574.864000000001</v>
      </c>
      <c r="I34" s="813">
        <f>SUM(I30:I33)</f>
        <v>44.6</v>
      </c>
      <c r="J34" s="239"/>
    </row>
    <row r="35" spans="1:12" x14ac:dyDescent="0.25">
      <c r="A35" s="1202" t="s">
        <v>448</v>
      </c>
      <c r="B35" s="1202"/>
      <c r="C35" s="1202"/>
      <c r="D35" s="1202"/>
      <c r="E35" s="1202"/>
      <c r="F35" s="1202"/>
      <c r="G35" s="1202"/>
      <c r="H35" s="297">
        <f>H34+H27</f>
        <v>44574.864000000001</v>
      </c>
      <c r="I35" s="296">
        <f>I34+I27</f>
        <v>44.6</v>
      </c>
      <c r="J35" s="226"/>
    </row>
    <row r="37" spans="1:12" x14ac:dyDescent="0.25">
      <c r="A37" s="1222" t="s">
        <v>449</v>
      </c>
      <c r="B37" s="1222"/>
      <c r="C37" s="1222"/>
      <c r="D37" s="1222"/>
      <c r="E37" s="1222"/>
      <c r="F37" s="1222"/>
      <c r="G37" s="1222"/>
      <c r="H37" s="1222"/>
      <c r="I37" s="1222"/>
    </row>
    <row r="38" spans="1:12" ht="24" customHeight="1" x14ac:dyDescent="0.25">
      <c r="A38" s="212" t="s">
        <v>258</v>
      </c>
      <c r="B38" s="733" t="s">
        <v>492</v>
      </c>
      <c r="C38" s="213" t="s">
        <v>343</v>
      </c>
      <c r="D38" s="212" t="s">
        <v>389</v>
      </c>
      <c r="E38" s="212" t="s">
        <v>445</v>
      </c>
      <c r="F38" s="727" t="s">
        <v>450</v>
      </c>
      <c r="G38" s="212" t="s">
        <v>430</v>
      </c>
      <c r="H38" s="254" t="s">
        <v>467</v>
      </c>
      <c r="I38" s="238" t="s">
        <v>402</v>
      </c>
    </row>
    <row r="39" spans="1:12" x14ac:dyDescent="0.25">
      <c r="A39" s="223">
        <v>1</v>
      </c>
      <c r="B39" s="751">
        <v>2</v>
      </c>
      <c r="C39" s="220">
        <v>3</v>
      </c>
      <c r="D39" s="223">
        <v>4</v>
      </c>
      <c r="E39" s="223">
        <v>5</v>
      </c>
      <c r="F39" s="751">
        <v>6</v>
      </c>
      <c r="G39" s="223">
        <v>7</v>
      </c>
      <c r="H39" s="250">
        <v>8</v>
      </c>
      <c r="I39" s="235">
        <v>9</v>
      </c>
    </row>
    <row r="40" spans="1:12" x14ac:dyDescent="0.25">
      <c r="A40" s="173">
        <v>1</v>
      </c>
      <c r="B40" s="917" t="s">
        <v>885</v>
      </c>
      <c r="C40" s="733">
        <v>226</v>
      </c>
      <c r="D40" s="233" t="s">
        <v>360</v>
      </c>
      <c r="E40" s="801">
        <v>1</v>
      </c>
      <c r="F40" s="744">
        <v>20064</v>
      </c>
      <c r="G40" s="249">
        <v>1</v>
      </c>
      <c r="H40" s="265">
        <f t="shared" ref="H40" si="3">F40*E40*G40</f>
        <v>20064</v>
      </c>
      <c r="I40" s="266">
        <f t="shared" ref="I40" si="4">ROUND(H40/1000,1)</f>
        <v>20.100000000000001</v>
      </c>
      <c r="J40" s="494"/>
    </row>
    <row r="41" spans="1:12" ht="13.5" customHeight="1" x14ac:dyDescent="0.25">
      <c r="A41" s="1249" t="s">
        <v>451</v>
      </c>
      <c r="B41" s="1249"/>
      <c r="C41" s="1249"/>
      <c r="D41" s="1249"/>
      <c r="E41" s="1249"/>
      <c r="F41" s="1249"/>
      <c r="G41" s="1249"/>
      <c r="H41" s="806">
        <f>H40</f>
        <v>20064</v>
      </c>
      <c r="I41" s="807">
        <f>SUM(I40:I40)</f>
        <v>20.100000000000001</v>
      </c>
      <c r="J41" s="583"/>
    </row>
    <row r="42" spans="1:12" ht="24" customHeight="1" x14ac:dyDescent="0.25">
      <c r="A42" s="212" t="s">
        <v>258</v>
      </c>
      <c r="B42" s="733" t="s">
        <v>492</v>
      </c>
      <c r="C42" s="213" t="s">
        <v>343</v>
      </c>
      <c r="D42" s="212" t="s">
        <v>389</v>
      </c>
      <c r="E42" s="212" t="s">
        <v>445</v>
      </c>
      <c r="F42" s="727" t="s">
        <v>452</v>
      </c>
      <c r="G42" s="212" t="s">
        <v>430</v>
      </c>
      <c r="H42" s="254" t="s">
        <v>467</v>
      </c>
      <c r="I42" s="212" t="s">
        <v>402</v>
      </c>
    </row>
    <row r="43" spans="1:12" x14ac:dyDescent="0.25">
      <c r="A43" s="223">
        <v>1</v>
      </c>
      <c r="B43" s="751">
        <v>2</v>
      </c>
      <c r="C43" s="220">
        <v>3</v>
      </c>
      <c r="D43" s="223">
        <v>4</v>
      </c>
      <c r="E43" s="223">
        <v>5</v>
      </c>
      <c r="F43" s="751">
        <v>6</v>
      </c>
      <c r="G43" s="223">
        <v>7</v>
      </c>
      <c r="H43" s="250">
        <v>8</v>
      </c>
      <c r="I43" s="235">
        <v>9</v>
      </c>
    </row>
    <row r="44" spans="1:12" ht="23.25" customHeight="1" x14ac:dyDescent="0.25">
      <c r="A44" s="173">
        <v>1</v>
      </c>
      <c r="B44" s="750" t="s">
        <v>453</v>
      </c>
      <c r="C44" s="178">
        <v>226</v>
      </c>
      <c r="D44" s="233" t="s">
        <v>362</v>
      </c>
      <c r="E44" s="256">
        <v>0</v>
      </c>
      <c r="F44" s="744">
        <v>10000</v>
      </c>
      <c r="G44" s="810">
        <v>1</v>
      </c>
      <c r="H44" s="265">
        <f t="shared" ref="H44:H45" si="5">F44*E44*G44</f>
        <v>0</v>
      </c>
      <c r="I44" s="266">
        <f t="shared" ref="I44:I53" si="6">ROUND(H44/1000,1)</f>
        <v>0</v>
      </c>
    </row>
    <row r="45" spans="1:12" ht="24" customHeight="1" x14ac:dyDescent="0.25">
      <c r="A45" s="173">
        <v>2</v>
      </c>
      <c r="B45" s="750" t="s">
        <v>761</v>
      </c>
      <c r="C45" s="178">
        <v>226</v>
      </c>
      <c r="D45" s="233" t="s">
        <v>362</v>
      </c>
      <c r="E45" s="247">
        <v>0</v>
      </c>
      <c r="F45" s="752">
        <v>3000</v>
      </c>
      <c r="G45" s="809">
        <v>1</v>
      </c>
      <c r="H45" s="265">
        <f t="shared" si="5"/>
        <v>0</v>
      </c>
      <c r="I45" s="266">
        <f>ROUND(H45/1000,1)</f>
        <v>0</v>
      </c>
      <c r="J45" s="908"/>
      <c r="K45" s="909"/>
    </row>
    <row r="46" spans="1:12" ht="23.25" customHeight="1" x14ac:dyDescent="0.25">
      <c r="A46" s="173">
        <v>3</v>
      </c>
      <c r="B46" s="734" t="s">
        <v>635</v>
      </c>
      <c r="C46" s="178">
        <v>226</v>
      </c>
      <c r="D46" s="233" t="s">
        <v>362</v>
      </c>
      <c r="E46" s="801">
        <v>12</v>
      </c>
      <c r="F46" s="744">
        <v>9532.5</v>
      </c>
      <c r="G46" s="798">
        <v>1</v>
      </c>
      <c r="H46" s="265">
        <f>F46*E46*G46</f>
        <v>114390</v>
      </c>
      <c r="I46" s="266">
        <f>ROUND(H46/1000,1)</f>
        <v>114.4</v>
      </c>
      <c r="K46" s="754"/>
      <c r="L46" s="754"/>
    </row>
    <row r="47" spans="1:12" ht="24" customHeight="1" x14ac:dyDescent="0.25">
      <c r="A47" s="173">
        <v>4</v>
      </c>
      <c r="B47" s="750" t="s">
        <v>916</v>
      </c>
      <c r="C47" s="727">
        <v>226</v>
      </c>
      <c r="D47" s="428" t="s">
        <v>362</v>
      </c>
      <c r="E47" s="247">
        <v>0</v>
      </c>
      <c r="F47" s="744">
        <v>14700</v>
      </c>
      <c r="G47" s="810">
        <v>1</v>
      </c>
      <c r="H47" s="277">
        <f t="shared" ref="H47:H56" si="7">F47*E47*G47</f>
        <v>0</v>
      </c>
      <c r="I47" s="1005">
        <f t="shared" si="6"/>
        <v>0</v>
      </c>
      <c r="J47" s="1009"/>
    </row>
    <row r="48" spans="1:12" x14ac:dyDescent="0.25">
      <c r="A48" s="173">
        <v>5</v>
      </c>
      <c r="B48" s="734"/>
      <c r="C48" s="178">
        <v>226</v>
      </c>
      <c r="D48" s="233" t="s">
        <v>362</v>
      </c>
      <c r="E48" s="801"/>
      <c r="F48" s="752">
        <v>5500</v>
      </c>
      <c r="G48" s="798">
        <v>1</v>
      </c>
      <c r="H48" s="265">
        <f t="shared" si="7"/>
        <v>0</v>
      </c>
      <c r="I48" s="266">
        <f>ROUND(H48/1000,1)</f>
        <v>0</v>
      </c>
    </row>
    <row r="49" spans="1:10" ht="22.5" customHeight="1" x14ac:dyDescent="0.25">
      <c r="A49" s="173">
        <v>6</v>
      </c>
      <c r="B49" s="734" t="s">
        <v>454</v>
      </c>
      <c r="C49" s="178">
        <v>226</v>
      </c>
      <c r="D49" s="233" t="s">
        <v>362</v>
      </c>
      <c r="E49" s="256">
        <v>4</v>
      </c>
      <c r="F49" s="752">
        <v>15750</v>
      </c>
      <c r="G49" s="810">
        <v>1</v>
      </c>
      <c r="H49" s="265">
        <f t="shared" si="7"/>
        <v>63000</v>
      </c>
      <c r="I49" s="266">
        <f t="shared" si="6"/>
        <v>63</v>
      </c>
    </row>
    <row r="50" spans="1:10" ht="23.25" customHeight="1" x14ac:dyDescent="0.25">
      <c r="A50" s="173">
        <v>7</v>
      </c>
      <c r="B50" s="750" t="s">
        <v>762</v>
      </c>
      <c r="C50" s="727">
        <v>226</v>
      </c>
      <c r="D50" s="428" t="s">
        <v>362</v>
      </c>
      <c r="E50" s="247">
        <v>12</v>
      </c>
      <c r="F50" s="752">
        <v>20980</v>
      </c>
      <c r="G50" s="810">
        <v>1</v>
      </c>
      <c r="H50" s="265">
        <f t="shared" si="7"/>
        <v>251760</v>
      </c>
      <c r="I50" s="222">
        <f t="shared" si="6"/>
        <v>251.8</v>
      </c>
    </row>
    <row r="51" spans="1:10" ht="24" x14ac:dyDescent="0.25">
      <c r="A51" s="173">
        <v>8</v>
      </c>
      <c r="B51" s="734" t="s">
        <v>591</v>
      </c>
      <c r="C51" s="178">
        <v>226</v>
      </c>
      <c r="D51" s="233" t="s">
        <v>362</v>
      </c>
      <c r="E51" s="256">
        <v>1</v>
      </c>
      <c r="F51" s="752">
        <f>25000+12500</f>
        <v>37500</v>
      </c>
      <c r="G51" s="810">
        <v>1</v>
      </c>
      <c r="H51" s="271">
        <f>F51*E51*G51-20992</f>
        <v>16508</v>
      </c>
      <c r="I51" s="222">
        <f t="shared" si="6"/>
        <v>16.5</v>
      </c>
      <c r="J51" s="1008">
        <v>-21</v>
      </c>
    </row>
    <row r="52" spans="1:10" ht="15" customHeight="1" x14ac:dyDescent="0.25">
      <c r="A52" s="173">
        <v>9</v>
      </c>
      <c r="B52" s="734" t="s">
        <v>820</v>
      </c>
      <c r="C52" s="178">
        <v>226</v>
      </c>
      <c r="D52" s="233" t="s">
        <v>362</v>
      </c>
      <c r="E52" s="256">
        <v>10</v>
      </c>
      <c r="F52" s="752">
        <v>9500</v>
      </c>
      <c r="G52" s="810">
        <f>J2</f>
        <v>1.0369999999999999</v>
      </c>
      <c r="H52" s="271">
        <f t="shared" si="7"/>
        <v>98514.999999999985</v>
      </c>
      <c r="I52" s="222">
        <f t="shared" si="6"/>
        <v>98.5</v>
      </c>
      <c r="J52" s="218"/>
    </row>
    <row r="53" spans="1:10" ht="24" x14ac:dyDescent="0.25">
      <c r="A53" s="173">
        <v>10</v>
      </c>
      <c r="B53" s="734" t="s">
        <v>455</v>
      </c>
      <c r="C53" s="178">
        <v>226</v>
      </c>
      <c r="D53" s="233" t="s">
        <v>362</v>
      </c>
      <c r="E53" s="256">
        <v>1</v>
      </c>
      <c r="F53" s="1002">
        <f>5500-2500</f>
        <v>3000</v>
      </c>
      <c r="G53" s="810">
        <v>1</v>
      </c>
      <c r="H53" s="265">
        <f t="shared" si="7"/>
        <v>3000</v>
      </c>
      <c r="I53" s="1005">
        <f t="shared" si="6"/>
        <v>3</v>
      </c>
      <c r="J53" s="1004"/>
    </row>
    <row r="54" spans="1:10" ht="29.25" customHeight="1" x14ac:dyDescent="0.25">
      <c r="A54" s="173">
        <v>11</v>
      </c>
      <c r="B54" s="734" t="s">
        <v>592</v>
      </c>
      <c r="C54" s="178">
        <v>226</v>
      </c>
      <c r="D54" s="233" t="s">
        <v>362</v>
      </c>
      <c r="E54" s="801">
        <v>0</v>
      </c>
      <c r="F54" s="744">
        <v>60000</v>
      </c>
      <c r="G54" s="798">
        <v>1</v>
      </c>
      <c r="H54" s="265">
        <f t="shared" si="7"/>
        <v>0</v>
      </c>
      <c r="I54" s="222">
        <f>ROUND(H54/1000,1)</f>
        <v>0</v>
      </c>
      <c r="J54" s="218"/>
    </row>
    <row r="55" spans="1:10" ht="36" x14ac:dyDescent="0.25">
      <c r="A55" s="173">
        <v>12</v>
      </c>
      <c r="B55" s="734" t="s">
        <v>872</v>
      </c>
      <c r="C55" s="178">
        <v>226</v>
      </c>
      <c r="D55" s="233" t="s">
        <v>362</v>
      </c>
      <c r="E55" s="801">
        <v>1</v>
      </c>
      <c r="F55" s="744">
        <v>63550</v>
      </c>
      <c r="G55" s="798">
        <v>1</v>
      </c>
      <c r="H55" s="265">
        <f t="shared" si="7"/>
        <v>63550</v>
      </c>
      <c r="I55" s="266">
        <f t="shared" ref="I55:I56" si="8">ROUND(H55/1000,1)</f>
        <v>63.6</v>
      </c>
      <c r="J55" s="218"/>
    </row>
    <row r="56" spans="1:10" x14ac:dyDescent="0.25">
      <c r="A56" s="173">
        <v>13</v>
      </c>
      <c r="B56" s="734" t="s">
        <v>871</v>
      </c>
      <c r="C56" s="178">
        <v>226</v>
      </c>
      <c r="D56" s="233" t="s">
        <v>362</v>
      </c>
      <c r="E56" s="801">
        <v>12</v>
      </c>
      <c r="F56" s="1006">
        <v>8100</v>
      </c>
      <c r="G56" s="249">
        <v>1</v>
      </c>
      <c r="H56" s="265">
        <f t="shared" si="7"/>
        <v>97200</v>
      </c>
      <c r="I56" s="1007">
        <f t="shared" si="8"/>
        <v>97.2</v>
      </c>
      <c r="J56" s="1003"/>
    </row>
    <row r="57" spans="1:10" x14ac:dyDescent="0.25">
      <c r="A57" s="1123" t="s">
        <v>456</v>
      </c>
      <c r="B57" s="1123"/>
      <c r="C57" s="1123"/>
      <c r="D57" s="1123"/>
      <c r="E57" s="1123"/>
      <c r="F57" s="1123"/>
      <c r="G57" s="1123"/>
      <c r="H57" s="812">
        <f>SUM(H44:H56)</f>
        <v>707923</v>
      </c>
      <c r="I57" s="807">
        <f>SUM(I44:I56)</f>
        <v>708.00000000000011</v>
      </c>
      <c r="J57" s="1011"/>
    </row>
    <row r="58" spans="1:10" ht="26.25" customHeight="1" x14ac:dyDescent="0.25">
      <c r="A58" s="212" t="s">
        <v>258</v>
      </c>
      <c r="B58" s="733" t="s">
        <v>492</v>
      </c>
      <c r="C58" s="213" t="s">
        <v>343</v>
      </c>
      <c r="D58" s="212" t="s">
        <v>389</v>
      </c>
      <c r="E58" s="727" t="s">
        <v>417</v>
      </c>
      <c r="F58" s="727" t="s">
        <v>457</v>
      </c>
      <c r="G58" s="727" t="s">
        <v>430</v>
      </c>
      <c r="H58" s="254" t="s">
        <v>467</v>
      </c>
      <c r="I58" s="212" t="s">
        <v>402</v>
      </c>
      <c r="J58" s="218"/>
    </row>
    <row r="59" spans="1:10" x14ac:dyDescent="0.25">
      <c r="A59" s="223">
        <v>1</v>
      </c>
      <c r="B59" s="751">
        <v>2</v>
      </c>
      <c r="C59" s="220">
        <v>3</v>
      </c>
      <c r="D59" s="223">
        <v>4</v>
      </c>
      <c r="E59" s="223">
        <v>5</v>
      </c>
      <c r="F59" s="751">
        <v>6</v>
      </c>
      <c r="G59" s="223">
        <v>7</v>
      </c>
      <c r="H59" s="270">
        <v>8</v>
      </c>
      <c r="I59" s="223">
        <v>9</v>
      </c>
      <c r="J59" s="218"/>
    </row>
    <row r="60" spans="1:10" ht="24" x14ac:dyDescent="0.25">
      <c r="A60" s="172">
        <v>1</v>
      </c>
      <c r="B60" s="734" t="s">
        <v>902</v>
      </c>
      <c r="C60" s="178">
        <v>226</v>
      </c>
      <c r="D60" s="233" t="s">
        <v>363</v>
      </c>
      <c r="E60" s="801">
        <v>1</v>
      </c>
      <c r="F60" s="744">
        <v>7000</v>
      </c>
      <c r="G60" s="798">
        <v>1</v>
      </c>
      <c r="H60" s="265">
        <f>F60*E60*G60</f>
        <v>7000</v>
      </c>
      <c r="I60" s="266">
        <f>ROUND(H60/1000,1)-0.1</f>
        <v>6.9</v>
      </c>
      <c r="J60" s="976"/>
    </row>
    <row r="61" spans="1:10" ht="36" x14ac:dyDescent="0.25">
      <c r="A61" s="730">
        <v>2</v>
      </c>
      <c r="B61" s="950" t="s">
        <v>903</v>
      </c>
      <c r="C61" s="949">
        <v>226</v>
      </c>
      <c r="D61" s="233" t="s">
        <v>363</v>
      </c>
      <c r="E61" s="801">
        <v>0</v>
      </c>
      <c r="F61" s="1006">
        <v>5000</v>
      </c>
      <c r="G61" s="798">
        <v>1</v>
      </c>
      <c r="H61" s="265">
        <f t="shared" ref="H61:H62" si="9">F61*E61*G61</f>
        <v>0</v>
      </c>
      <c r="I61" s="1007">
        <f t="shared" ref="I61:I62" si="10">ROUND(H61/1000,1)</f>
        <v>0</v>
      </c>
      <c r="J61" s="1008"/>
    </row>
    <row r="62" spans="1:10" ht="48" x14ac:dyDescent="0.25">
      <c r="A62" s="730">
        <v>3</v>
      </c>
      <c r="B62" s="950" t="s">
        <v>904</v>
      </c>
      <c r="C62" s="949">
        <v>226</v>
      </c>
      <c r="D62" s="233" t="s">
        <v>363</v>
      </c>
      <c r="E62" s="801">
        <v>2</v>
      </c>
      <c r="F62" s="1006">
        <v>3600</v>
      </c>
      <c r="G62" s="798">
        <v>1</v>
      </c>
      <c r="H62" s="265">
        <f t="shared" si="9"/>
        <v>7200</v>
      </c>
      <c r="I62" s="1007">
        <f t="shared" si="10"/>
        <v>7.2</v>
      </c>
      <c r="J62" s="1008"/>
    </row>
    <row r="63" spans="1:10" ht="24" x14ac:dyDescent="0.25">
      <c r="A63" s="730">
        <v>4</v>
      </c>
      <c r="B63" s="950" t="s">
        <v>905</v>
      </c>
      <c r="C63" s="949">
        <v>226</v>
      </c>
      <c r="D63" s="233" t="s">
        <v>363</v>
      </c>
      <c r="E63" s="801">
        <v>0</v>
      </c>
      <c r="F63" s="1006">
        <v>2500</v>
      </c>
      <c r="G63" s="798">
        <v>1</v>
      </c>
      <c r="H63" s="265">
        <f t="shared" ref="H63" si="11">F63*E63*G63</f>
        <v>0</v>
      </c>
      <c r="I63" s="1007">
        <f t="shared" ref="I63" si="12">ROUND(H63/1000,1)</f>
        <v>0</v>
      </c>
      <c r="J63" s="1008"/>
    </row>
    <row r="64" spans="1:10" ht="13.5" customHeight="1" x14ac:dyDescent="0.25">
      <c r="A64" s="1123" t="s">
        <v>458</v>
      </c>
      <c r="B64" s="1123"/>
      <c r="C64" s="1123"/>
      <c r="D64" s="1123"/>
      <c r="E64" s="1123"/>
      <c r="F64" s="1123"/>
      <c r="G64" s="1123"/>
      <c r="H64" s="812">
        <f>SUM(H60:H63)</f>
        <v>14200</v>
      </c>
      <c r="I64" s="812">
        <f>SUM(I60:I63)</f>
        <v>14.100000000000001</v>
      </c>
      <c r="J64" s="508"/>
    </row>
    <row r="65" spans="1:12" ht="28.5" customHeight="1" x14ac:dyDescent="0.25">
      <c r="A65" s="602" t="s">
        <v>258</v>
      </c>
      <c r="B65" s="733" t="s">
        <v>492</v>
      </c>
      <c r="C65" s="603" t="s">
        <v>343</v>
      </c>
      <c r="D65" s="602" t="s">
        <v>389</v>
      </c>
      <c r="E65" s="1237" t="s">
        <v>696</v>
      </c>
      <c r="F65" s="1238"/>
      <c r="G65" s="602" t="s">
        <v>406</v>
      </c>
      <c r="H65" s="254" t="s">
        <v>467</v>
      </c>
      <c r="I65" s="602" t="s">
        <v>402</v>
      </c>
    </row>
    <row r="66" spans="1:12" ht="13.5" customHeight="1" x14ac:dyDescent="0.25">
      <c r="A66" s="604">
        <v>1</v>
      </c>
      <c r="B66" s="751">
        <v>2</v>
      </c>
      <c r="C66" s="220">
        <v>3</v>
      </c>
      <c r="D66" s="604">
        <v>4</v>
      </c>
      <c r="E66" s="1231">
        <v>5</v>
      </c>
      <c r="F66" s="1232"/>
      <c r="G66" s="604">
        <v>6</v>
      </c>
      <c r="H66" s="270">
        <v>7</v>
      </c>
      <c r="I66" s="604">
        <v>8</v>
      </c>
    </row>
    <row r="67" spans="1:12" ht="24" x14ac:dyDescent="0.25">
      <c r="A67" s="272">
        <v>1</v>
      </c>
      <c r="B67" s="748" t="s">
        <v>459</v>
      </c>
      <c r="C67" s="602">
        <v>226</v>
      </c>
      <c r="D67" s="601">
        <v>843</v>
      </c>
      <c r="E67" s="1250">
        <v>10</v>
      </c>
      <c r="F67" s="1251"/>
      <c r="G67" s="232">
        <v>1000</v>
      </c>
      <c r="H67" s="265">
        <f>E67*G67-10000</f>
        <v>0</v>
      </c>
      <c r="I67" s="217">
        <f>ROUND(H67/1000,1)</f>
        <v>0</v>
      </c>
      <c r="J67" s="508">
        <v>-10</v>
      </c>
    </row>
    <row r="68" spans="1:12" ht="13.5" customHeight="1" x14ac:dyDescent="0.25">
      <c r="A68" s="1123" t="s">
        <v>695</v>
      </c>
      <c r="B68" s="1123"/>
      <c r="C68" s="1123"/>
      <c r="D68" s="1123"/>
      <c r="E68" s="1123"/>
      <c r="F68" s="1123"/>
      <c r="G68" s="1123"/>
      <c r="H68" s="812">
        <f>H67</f>
        <v>0</v>
      </c>
      <c r="I68" s="807">
        <f>I67</f>
        <v>0</v>
      </c>
    </row>
    <row r="69" spans="1:12" ht="24" customHeight="1" x14ac:dyDescent="0.25">
      <c r="A69" s="212" t="s">
        <v>258</v>
      </c>
      <c r="B69" s="733" t="s">
        <v>492</v>
      </c>
      <c r="C69" s="213" t="s">
        <v>343</v>
      </c>
      <c r="D69" s="212" t="s">
        <v>389</v>
      </c>
      <c r="E69" s="212" t="s">
        <v>474</v>
      </c>
      <c r="F69" s="727" t="s">
        <v>390</v>
      </c>
      <c r="G69" s="212" t="s">
        <v>406</v>
      </c>
      <c r="H69" s="254" t="s">
        <v>467</v>
      </c>
      <c r="I69" s="212" t="s">
        <v>402</v>
      </c>
    </row>
    <row r="70" spans="1:12" ht="13.5" customHeight="1" x14ac:dyDescent="0.25">
      <c r="A70" s="223">
        <v>1</v>
      </c>
      <c r="B70" s="751">
        <v>2</v>
      </c>
      <c r="C70" s="220">
        <v>3</v>
      </c>
      <c r="D70" s="223">
        <v>4</v>
      </c>
      <c r="E70" s="223">
        <v>5</v>
      </c>
      <c r="F70" s="751">
        <v>6</v>
      </c>
      <c r="G70" s="223">
        <v>7</v>
      </c>
      <c r="H70" s="270">
        <v>8</v>
      </c>
      <c r="I70" s="223">
        <v>9</v>
      </c>
    </row>
    <row r="71" spans="1:12" ht="37.5" customHeight="1" x14ac:dyDescent="0.25">
      <c r="A71" s="272">
        <v>1</v>
      </c>
      <c r="B71" s="748" t="s">
        <v>473</v>
      </c>
      <c r="C71" s="212">
        <v>226</v>
      </c>
      <c r="D71" s="160">
        <v>845</v>
      </c>
      <c r="E71" s="256">
        <v>1</v>
      </c>
      <c r="F71" s="736" t="s">
        <v>475</v>
      </c>
      <c r="G71" s="232">
        <f>10*2*300</f>
        <v>6000</v>
      </c>
      <c r="H71" s="265">
        <f>E71*G71</f>
        <v>6000</v>
      </c>
      <c r="I71" s="217">
        <f>ROUND(H71/1000,1)</f>
        <v>6</v>
      </c>
    </row>
    <row r="72" spans="1:12" ht="13.5" customHeight="1" x14ac:dyDescent="0.25">
      <c r="A72" s="1123" t="s">
        <v>476</v>
      </c>
      <c r="B72" s="1123"/>
      <c r="C72" s="1123"/>
      <c r="D72" s="1123"/>
      <c r="E72" s="1123"/>
      <c r="F72" s="1123"/>
      <c r="G72" s="1123"/>
      <c r="H72" s="812">
        <f>H71</f>
        <v>6000</v>
      </c>
      <c r="I72" s="807">
        <f>I71</f>
        <v>6</v>
      </c>
      <c r="J72" s="583"/>
    </row>
    <row r="73" spans="1:12" x14ac:dyDescent="0.25">
      <c r="A73" s="1227" t="s">
        <v>409</v>
      </c>
      <c r="B73" s="1227"/>
      <c r="C73" s="1227"/>
      <c r="D73" s="1227"/>
      <c r="E73" s="1227"/>
      <c r="F73" s="1227"/>
      <c r="G73" s="1227"/>
      <c r="H73" s="796">
        <f>H68+H64+H57+H41+H72</f>
        <v>748187</v>
      </c>
      <c r="I73" s="284">
        <f>I68+I64+I57+I41+I72</f>
        <v>748.20000000000016</v>
      </c>
    </row>
    <row r="75" spans="1:12" ht="15" customHeight="1" x14ac:dyDescent="0.25">
      <c r="A75" s="1155" t="s">
        <v>461</v>
      </c>
      <c r="B75" s="1155"/>
      <c r="C75" s="1155"/>
      <c r="D75" s="1155"/>
      <c r="E75" s="1155"/>
      <c r="F75" s="1155"/>
      <c r="G75" s="1155"/>
      <c r="H75" s="1155"/>
    </row>
    <row r="76" spans="1:12" ht="24" customHeight="1" x14ac:dyDescent="0.25">
      <c r="A76" s="212" t="s">
        <v>258</v>
      </c>
      <c r="B76" s="733" t="s">
        <v>492</v>
      </c>
      <c r="C76" s="213" t="s">
        <v>343</v>
      </c>
      <c r="D76" s="212" t="s">
        <v>389</v>
      </c>
      <c r="E76" s="212" t="s">
        <v>411</v>
      </c>
      <c r="F76" s="727" t="s">
        <v>406</v>
      </c>
      <c r="G76" s="254" t="s">
        <v>467</v>
      </c>
      <c r="H76" s="212" t="s">
        <v>402</v>
      </c>
    </row>
    <row r="77" spans="1:12" x14ac:dyDescent="0.25">
      <c r="A77" s="191">
        <v>1</v>
      </c>
      <c r="B77" s="728">
        <v>2</v>
      </c>
      <c r="C77" s="191">
        <v>3</v>
      </c>
      <c r="D77" s="191">
        <v>4</v>
      </c>
      <c r="E77" s="918">
        <v>5</v>
      </c>
      <c r="F77" s="918">
        <v>6</v>
      </c>
      <c r="G77" s="918">
        <v>7</v>
      </c>
      <c r="H77" s="918">
        <v>8</v>
      </c>
    </row>
    <row r="78" spans="1:12" ht="13.5" customHeight="1" x14ac:dyDescent="0.25">
      <c r="A78" s="191">
        <v>1</v>
      </c>
      <c r="B78" s="734" t="s">
        <v>917</v>
      </c>
      <c r="C78" s="178">
        <v>310</v>
      </c>
      <c r="D78" s="160">
        <v>814</v>
      </c>
      <c r="E78" s="256">
        <v>1</v>
      </c>
      <c r="F78" s="742">
        <v>38700</v>
      </c>
      <c r="G78" s="265">
        <f>E78*F78</f>
        <v>38700</v>
      </c>
      <c r="H78" s="222">
        <f>ROUND(G78/1000,1)</f>
        <v>38.700000000000003</v>
      </c>
      <c r="J78" s="210"/>
    </row>
    <row r="79" spans="1:12" ht="13.5" customHeight="1" x14ac:dyDescent="0.25">
      <c r="A79" s="512">
        <v>2</v>
      </c>
      <c r="B79" s="734" t="s">
        <v>918</v>
      </c>
      <c r="C79" s="511">
        <v>310</v>
      </c>
      <c r="D79" s="510">
        <v>814</v>
      </c>
      <c r="E79" s="256">
        <v>1</v>
      </c>
      <c r="F79" s="742">
        <v>17900</v>
      </c>
      <c r="G79" s="265">
        <f>E79*F79-17900</f>
        <v>0</v>
      </c>
      <c r="H79" s="222">
        <f t="shared" ref="H79:H80" si="13">ROUND(G79/1000,1)</f>
        <v>0</v>
      </c>
      <c r="I79" s="508">
        <v>-17.899999999999999</v>
      </c>
      <c r="L79" s="811" t="s">
        <v>822</v>
      </c>
    </row>
    <row r="80" spans="1:12" ht="13.5" customHeight="1" x14ac:dyDescent="0.25">
      <c r="A80" s="512">
        <v>3</v>
      </c>
      <c r="B80" s="734" t="s">
        <v>919</v>
      </c>
      <c r="C80" s="511">
        <v>310</v>
      </c>
      <c r="D80" s="510">
        <v>814</v>
      </c>
      <c r="E80" s="256">
        <v>1</v>
      </c>
      <c r="F80" s="742">
        <f>20000-6000</f>
        <v>14000</v>
      </c>
      <c r="G80" s="265">
        <f>E80*F80</f>
        <v>14000</v>
      </c>
      <c r="H80" s="222">
        <f t="shared" si="13"/>
        <v>14</v>
      </c>
      <c r="I80" s="508"/>
      <c r="J80" s="210"/>
    </row>
    <row r="81" spans="1:10" ht="13.5" customHeight="1" x14ac:dyDescent="0.25">
      <c r="A81" s="971">
        <v>4</v>
      </c>
      <c r="B81" s="970" t="s">
        <v>946</v>
      </c>
      <c r="C81" s="969">
        <v>310</v>
      </c>
      <c r="D81" s="972">
        <v>814</v>
      </c>
      <c r="E81" s="256">
        <v>0</v>
      </c>
      <c r="F81" s="742">
        <v>18800</v>
      </c>
      <c r="G81" s="265">
        <f>E81*F81</f>
        <v>0</v>
      </c>
      <c r="H81" s="222">
        <f t="shared" ref="H81" si="14">ROUND(G81/1000,1)</f>
        <v>0</v>
      </c>
      <c r="I81" s="508"/>
      <c r="J81" s="210"/>
    </row>
    <row r="82" spans="1:10" x14ac:dyDescent="0.25">
      <c r="A82" s="1224" t="s">
        <v>462</v>
      </c>
      <c r="B82" s="1225"/>
      <c r="C82" s="1225"/>
      <c r="D82" s="1225"/>
      <c r="E82" s="1225"/>
      <c r="F82" s="1225"/>
      <c r="G82" s="803">
        <f>SUM(G78:G81)</f>
        <v>52700</v>
      </c>
      <c r="H82" s="276">
        <f>SUM(H78:H81)</f>
        <v>52.7</v>
      </c>
      <c r="I82" s="1013"/>
      <c r="J82" s="226"/>
    </row>
    <row r="84" spans="1:10" ht="15" customHeight="1" x14ac:dyDescent="0.25">
      <c r="A84" s="1240" t="s">
        <v>821</v>
      </c>
      <c r="B84" s="1240"/>
      <c r="C84" s="1240"/>
      <c r="D84" s="1240"/>
      <c r="E84" s="1240"/>
      <c r="F84" s="1240"/>
      <c r="G84" s="1240"/>
      <c r="H84" s="1240"/>
      <c r="I84" s="444"/>
    </row>
    <row r="85" spans="1:10" ht="24" x14ac:dyDescent="0.25">
      <c r="A85" s="441" t="s">
        <v>258</v>
      </c>
      <c r="B85" s="733" t="s">
        <v>492</v>
      </c>
      <c r="C85" s="442" t="s">
        <v>343</v>
      </c>
      <c r="D85" s="441" t="s">
        <v>389</v>
      </c>
      <c r="E85" s="441" t="s">
        <v>411</v>
      </c>
      <c r="F85" s="727" t="s">
        <v>406</v>
      </c>
      <c r="G85" s="254" t="s">
        <v>467</v>
      </c>
      <c r="H85" s="441" t="s">
        <v>402</v>
      </c>
      <c r="I85" s="204"/>
    </row>
    <row r="86" spans="1:10" x14ac:dyDescent="0.25">
      <c r="A86" s="440">
        <v>1</v>
      </c>
      <c r="B86" s="728">
        <v>2</v>
      </c>
      <c r="C86" s="440">
        <v>3</v>
      </c>
      <c r="D86" s="440">
        <v>4</v>
      </c>
      <c r="E86" s="440">
        <v>5</v>
      </c>
      <c r="F86" s="728">
        <v>6</v>
      </c>
      <c r="G86" s="269">
        <v>7</v>
      </c>
      <c r="H86" s="440">
        <v>8</v>
      </c>
    </row>
    <row r="87" spans="1:10" x14ac:dyDescent="0.25">
      <c r="A87" s="440">
        <v>1</v>
      </c>
      <c r="B87" s="734" t="s">
        <v>883</v>
      </c>
      <c r="C87" s="439">
        <v>343</v>
      </c>
      <c r="D87" s="438"/>
      <c r="E87" s="442">
        <v>1000</v>
      </c>
      <c r="F87" s="757"/>
      <c r="G87" s="277">
        <f>28700-55.48</f>
        <v>28644.52</v>
      </c>
      <c r="H87" s="222">
        <f t="shared" ref="H87" si="15">ROUND(G87/1000,1)</f>
        <v>28.6</v>
      </c>
      <c r="I87" s="508">
        <v>-0.1</v>
      </c>
      <c r="J87" s="230"/>
    </row>
    <row r="88" spans="1:10" x14ac:dyDescent="0.25">
      <c r="A88" s="918">
        <v>2</v>
      </c>
      <c r="B88" s="917" t="s">
        <v>884</v>
      </c>
      <c r="C88" s="916">
        <v>343</v>
      </c>
      <c r="D88" s="919"/>
      <c r="E88" s="746"/>
      <c r="F88" s="757"/>
      <c r="G88" s="277"/>
      <c r="H88" s="222"/>
      <c r="I88" s="583"/>
      <c r="J88" s="230"/>
    </row>
    <row r="89" spans="1:10" x14ac:dyDescent="0.25">
      <c r="A89" s="1241" t="s">
        <v>664</v>
      </c>
      <c r="B89" s="1241"/>
      <c r="C89" s="1241"/>
      <c r="D89" s="1241"/>
      <c r="E89" s="1241"/>
      <c r="F89" s="1241"/>
      <c r="G89" s="806">
        <f>SUM(G87:G87)</f>
        <v>28644.52</v>
      </c>
      <c r="H89" s="276">
        <f>H87</f>
        <v>28.6</v>
      </c>
    </row>
    <row r="91" spans="1:10" x14ac:dyDescent="0.25">
      <c r="A91" s="1240" t="s">
        <v>663</v>
      </c>
      <c r="B91" s="1240"/>
      <c r="C91" s="1240"/>
      <c r="D91" s="1240"/>
      <c r="E91" s="1240"/>
      <c r="F91" s="1240"/>
      <c r="G91" s="1240"/>
      <c r="H91" s="1240"/>
    </row>
    <row r="92" spans="1:10" ht="24" x14ac:dyDescent="0.25">
      <c r="A92" s="727" t="s">
        <v>258</v>
      </c>
      <c r="B92" s="733" t="s">
        <v>492</v>
      </c>
      <c r="C92" s="746" t="s">
        <v>343</v>
      </c>
      <c r="D92" s="727" t="s">
        <v>389</v>
      </c>
      <c r="E92" s="727" t="s">
        <v>411</v>
      </c>
      <c r="F92" s="727" t="s">
        <v>406</v>
      </c>
      <c r="G92" s="254" t="s">
        <v>467</v>
      </c>
      <c r="H92" s="727" t="s">
        <v>402</v>
      </c>
    </row>
    <row r="93" spans="1:10" x14ac:dyDescent="0.25">
      <c r="A93" s="728">
        <v>1</v>
      </c>
      <c r="B93" s="728">
        <v>2</v>
      </c>
      <c r="C93" s="728">
        <v>3</v>
      </c>
      <c r="D93" s="728">
        <v>4</v>
      </c>
      <c r="E93" s="728">
        <v>5</v>
      </c>
      <c r="F93" s="728">
        <v>6</v>
      </c>
      <c r="G93" s="269">
        <v>7</v>
      </c>
      <c r="H93" s="728">
        <v>8</v>
      </c>
    </row>
    <row r="94" spans="1:10" x14ac:dyDescent="0.25">
      <c r="A94" s="728">
        <v>2</v>
      </c>
      <c r="B94" s="734" t="s">
        <v>463</v>
      </c>
      <c r="C94" s="733">
        <v>346</v>
      </c>
      <c r="D94" s="731"/>
      <c r="E94" s="746">
        <v>1</v>
      </c>
      <c r="F94" s="757">
        <v>63000</v>
      </c>
      <c r="G94" s="495">
        <f>E94*F94-3683</f>
        <v>59317</v>
      </c>
      <c r="H94" s="222">
        <f t="shared" ref="H94" si="16">ROUND(G94/1000,1)</f>
        <v>59.3</v>
      </c>
      <c r="I94" s="508">
        <v>-3.6</v>
      </c>
    </row>
    <row r="95" spans="1:10" x14ac:dyDescent="0.25">
      <c r="A95" s="1241" t="s">
        <v>664</v>
      </c>
      <c r="B95" s="1241"/>
      <c r="C95" s="1241"/>
      <c r="D95" s="1241"/>
      <c r="E95" s="1241"/>
      <c r="F95" s="1241"/>
      <c r="G95" s="806">
        <f>SUM(G94:G94)</f>
        <v>59317</v>
      </c>
      <c r="H95" s="276">
        <f>H94</f>
        <v>59.3</v>
      </c>
      <c r="I95" s="508"/>
    </row>
    <row r="97" spans="1:10" x14ac:dyDescent="0.25">
      <c r="A97" s="1145" t="s">
        <v>482</v>
      </c>
      <c r="B97" s="1145"/>
      <c r="C97" s="1145"/>
      <c r="D97" s="1145"/>
      <c r="E97" s="1145"/>
      <c r="F97" s="1145"/>
      <c r="G97" s="1145"/>
      <c r="H97" s="1145"/>
      <c r="I97" s="1145"/>
    </row>
    <row r="98" spans="1:10" ht="24" x14ac:dyDescent="0.25">
      <c r="A98" s="212" t="s">
        <v>258</v>
      </c>
      <c r="B98" s="733" t="s">
        <v>492</v>
      </c>
      <c r="C98" s="213" t="s">
        <v>343</v>
      </c>
      <c r="D98" s="212" t="s">
        <v>389</v>
      </c>
      <c r="E98" s="1237" t="s">
        <v>390</v>
      </c>
      <c r="F98" s="1238"/>
      <c r="G98" s="1239"/>
      <c r="H98" s="254" t="s">
        <v>467</v>
      </c>
      <c r="I98" s="212" t="s">
        <v>402</v>
      </c>
    </row>
    <row r="99" spans="1:10" x14ac:dyDescent="0.25">
      <c r="A99" s="223">
        <v>1</v>
      </c>
      <c r="B99" s="741">
        <v>2</v>
      </c>
      <c r="C99" s="223">
        <v>3</v>
      </c>
      <c r="D99" s="223">
        <v>4</v>
      </c>
      <c r="E99" s="1231">
        <v>5</v>
      </c>
      <c r="F99" s="1232"/>
      <c r="G99" s="1233"/>
      <c r="H99" s="269">
        <v>6</v>
      </c>
      <c r="I99" s="223">
        <v>7</v>
      </c>
    </row>
    <row r="100" spans="1:10" ht="24" x14ac:dyDescent="0.25">
      <c r="A100" s="191">
        <v>1</v>
      </c>
      <c r="B100" s="1046" t="s">
        <v>947</v>
      </c>
      <c r="C100" s="212">
        <v>291</v>
      </c>
      <c r="D100" s="213"/>
      <c r="E100" s="1234" t="s">
        <v>763</v>
      </c>
      <c r="F100" s="1235"/>
      <c r="G100" s="1236"/>
      <c r="H100" s="805">
        <v>165000</v>
      </c>
      <c r="I100" s="274">
        <f t="shared" ref="I100:I102" si="17">ROUND(H100/1000,1)</f>
        <v>165</v>
      </c>
      <c r="J100" s="508"/>
    </row>
    <row r="101" spans="1:10" ht="24" x14ac:dyDescent="0.25">
      <c r="A101" s="220">
        <v>2</v>
      </c>
      <c r="B101" s="750" t="s">
        <v>483</v>
      </c>
      <c r="C101" s="212">
        <v>292</v>
      </c>
      <c r="D101" s="213"/>
      <c r="E101" s="1228"/>
      <c r="F101" s="1229"/>
      <c r="G101" s="1230"/>
      <c r="H101" s="805">
        <v>0</v>
      </c>
      <c r="I101" s="274">
        <f t="shared" si="17"/>
        <v>0</v>
      </c>
    </row>
    <row r="102" spans="1:10" ht="24" x14ac:dyDescent="0.25">
      <c r="A102" s="191">
        <v>3</v>
      </c>
      <c r="B102" s="750" t="s">
        <v>381</v>
      </c>
      <c r="C102" s="212">
        <v>293</v>
      </c>
      <c r="D102" s="213"/>
      <c r="E102" s="1228"/>
      <c r="F102" s="1229"/>
      <c r="G102" s="1230"/>
      <c r="H102" s="805">
        <v>0</v>
      </c>
      <c r="I102" s="274">
        <f t="shared" si="17"/>
        <v>0</v>
      </c>
    </row>
    <row r="103" spans="1:10" x14ac:dyDescent="0.25">
      <c r="A103" s="1224" t="s">
        <v>460</v>
      </c>
      <c r="B103" s="1225"/>
      <c r="C103" s="1225"/>
      <c r="D103" s="1225"/>
      <c r="E103" s="1225"/>
      <c r="F103" s="1225"/>
      <c r="G103" s="1226"/>
      <c r="H103" s="777">
        <f>SUM(H100:H102)</f>
        <v>165000</v>
      </c>
      <c r="I103" s="777">
        <f>SUM(I100:I102)</f>
        <v>165</v>
      </c>
    </row>
    <row r="106" spans="1:10" x14ac:dyDescent="0.25">
      <c r="A106" s="1150" t="s">
        <v>397</v>
      </c>
      <c r="B106" s="1150"/>
      <c r="C106" s="168"/>
      <c r="D106" s="1151"/>
      <c r="E106" s="1151"/>
      <c r="G106" s="1151" t="str">
        <f>рВДЛ!G32</f>
        <v>М.В. Златова</v>
      </c>
      <c r="H106" s="1151"/>
    </row>
    <row r="107" spans="1:10" x14ac:dyDescent="0.25">
      <c r="A107" s="1148" t="s">
        <v>329</v>
      </c>
      <c r="B107" s="1148"/>
      <c r="C107" s="169"/>
      <c r="D107" s="1149" t="s">
        <v>330</v>
      </c>
      <c r="E107" s="1149"/>
      <c r="G107" s="1149" t="s">
        <v>331</v>
      </c>
      <c r="H107" s="1149"/>
    </row>
    <row r="108" spans="1:10" x14ac:dyDescent="0.25">
      <c r="A108" s="1150" t="str">
        <f>рВДЛ!A34</f>
        <v>Исполнитель: финансист</v>
      </c>
      <c r="B108" s="1150"/>
      <c r="C108" s="168"/>
      <c r="D108" s="1151"/>
      <c r="E108" s="1151"/>
      <c r="G108" s="1151" t="str">
        <f>рВДЛ!G34</f>
        <v>Е.Н. Рыбалка</v>
      </c>
      <c r="H108" s="1151"/>
    </row>
    <row r="109" spans="1:10" x14ac:dyDescent="0.25">
      <c r="A109" s="1148" t="s">
        <v>329</v>
      </c>
      <c r="B109" s="1148"/>
      <c r="C109" s="169"/>
      <c r="D109" s="1149" t="s">
        <v>330</v>
      </c>
      <c r="E109" s="1149"/>
      <c r="G109" s="1149" t="s">
        <v>331</v>
      </c>
      <c r="H109" s="1149"/>
    </row>
  </sheetData>
  <mergeCells count="45">
    <mergeCell ref="A23:I23"/>
    <mergeCell ref="A75:H75"/>
    <mergeCell ref="A27:G27"/>
    <mergeCell ref="A89:F89"/>
    <mergeCell ref="A64:G64"/>
    <mergeCell ref="A57:G57"/>
    <mergeCell ref="A34:G34"/>
    <mergeCell ref="A37:I37"/>
    <mergeCell ref="A35:G35"/>
    <mergeCell ref="A41:G41"/>
    <mergeCell ref="A72:G72"/>
    <mergeCell ref="A68:G68"/>
    <mergeCell ref="E65:F65"/>
    <mergeCell ref="E66:F66"/>
    <mergeCell ref="E67:F67"/>
    <mergeCell ref="A21:F21"/>
    <mergeCell ref="A15:G15"/>
    <mergeCell ref="A1:I1"/>
    <mergeCell ref="A6:I6"/>
    <mergeCell ref="A3:I3"/>
    <mergeCell ref="A4:I4"/>
    <mergeCell ref="A109:B109"/>
    <mergeCell ref="D109:E109"/>
    <mergeCell ref="G109:H109"/>
    <mergeCell ref="A108:B108"/>
    <mergeCell ref="D108:E108"/>
    <mergeCell ref="G108:H108"/>
    <mergeCell ref="G106:H106"/>
    <mergeCell ref="A107:B107"/>
    <mergeCell ref="D107:E107"/>
    <mergeCell ref="G107:H107"/>
    <mergeCell ref="A106:B106"/>
    <mergeCell ref="D106:E106"/>
    <mergeCell ref="A103:G103"/>
    <mergeCell ref="A73:G73"/>
    <mergeCell ref="E102:G102"/>
    <mergeCell ref="E99:G99"/>
    <mergeCell ref="E100:G100"/>
    <mergeCell ref="E101:G101"/>
    <mergeCell ref="E98:G98"/>
    <mergeCell ref="A91:H91"/>
    <mergeCell ref="A95:F95"/>
    <mergeCell ref="A97:I97"/>
    <mergeCell ref="A82:F82"/>
    <mergeCell ref="A84:H84"/>
  </mergeCells>
  <pageMargins left="0.7" right="0.7" top="0.75" bottom="0.75" header="0.3" footer="0.3"/>
  <pageSetup paperSize="9" orientation="portrait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workbookViewId="0">
      <selection activeCell="I47" sqref="I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0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0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0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0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0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3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ht="33.75" customHeight="1" x14ac:dyDescent="0.2">
      <c r="A12" s="1142" t="s">
        <v>140</v>
      </c>
      <c r="B12" s="1142"/>
      <c r="C12" s="1142"/>
      <c r="D12" s="1142"/>
      <c r="E12" s="1142"/>
      <c r="F12" s="1142"/>
      <c r="G12" s="1142"/>
      <c r="H12" s="1142"/>
      <c r="I12" s="841"/>
    </row>
    <row r="13" spans="1:9" s="179" customFormat="1" ht="6" customHeight="1" x14ac:dyDescent="0.2">
      <c r="E13" s="842"/>
      <c r="F13" s="842"/>
      <c r="G13" s="842"/>
      <c r="H13" s="842"/>
      <c r="I13" s="841"/>
    </row>
    <row r="14" spans="1:9" s="179" customFormat="1" ht="12.75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841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94"/>
    </row>
    <row r="16" spans="1:9" x14ac:dyDescent="0.25">
      <c r="A16" s="564" t="s">
        <v>640</v>
      </c>
      <c r="B16" s="581" t="s">
        <v>106</v>
      </c>
      <c r="C16" s="581" t="s">
        <v>141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483.4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  <c r="I34" s="84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5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3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 t="s">
        <v>106</v>
      </c>
      <c r="C46" s="857" t="s">
        <v>141</v>
      </c>
      <c r="D46" s="857" t="s">
        <v>144</v>
      </c>
      <c r="E46" s="857" t="s">
        <v>376</v>
      </c>
      <c r="F46" s="558" t="s">
        <v>364</v>
      </c>
      <c r="G46" s="558"/>
      <c r="H46" s="858">
        <f>H47</f>
        <v>483.4</v>
      </c>
      <c r="I46" s="841"/>
    </row>
    <row r="47" spans="1:9" x14ac:dyDescent="0.25">
      <c r="A47" s="569" t="s">
        <v>652</v>
      </c>
      <c r="B47" s="581" t="s">
        <v>106</v>
      </c>
      <c r="C47" s="581" t="s">
        <v>141</v>
      </c>
      <c r="D47" s="581" t="s">
        <v>144</v>
      </c>
      <c r="E47" s="581" t="s">
        <v>376</v>
      </c>
      <c r="F47" s="563">
        <v>251</v>
      </c>
      <c r="G47" s="563"/>
      <c r="H47" s="580">
        <f>рКСП!H10</f>
        <v>483.4</v>
      </c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106</v>
      </c>
      <c r="C65" s="848" t="s">
        <v>141</v>
      </c>
      <c r="D65" s="848" t="s">
        <v>144</v>
      </c>
      <c r="E65" s="848" t="s">
        <v>146</v>
      </c>
      <c r="F65" s="563"/>
      <c r="G65" s="563"/>
      <c r="H65" s="850">
        <f>H47</f>
        <v>483.4</v>
      </c>
    </row>
    <row r="66" spans="1:9" x14ac:dyDescent="0.25">
      <c r="A66" s="571" t="s">
        <v>377</v>
      </c>
      <c r="B66" s="848" t="s">
        <v>106</v>
      </c>
      <c r="C66" s="848" t="s">
        <v>141</v>
      </c>
      <c r="D66" s="848" t="s">
        <v>485</v>
      </c>
      <c r="E66" s="848" t="s">
        <v>345</v>
      </c>
      <c r="F66" s="570"/>
      <c r="G66" s="570"/>
      <c r="H66" s="850">
        <f>H59+H16</f>
        <v>483.4</v>
      </c>
      <c r="I66" s="638">
        <f>SUM(I16:I64)</f>
        <v>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  <row r="68" spans="1:9" x14ac:dyDescent="0.25">
      <c r="I68" s="841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6"/>
  <sheetViews>
    <sheetView workbookViewId="0">
      <selection activeCell="H10" sqref="H10"/>
    </sheetView>
  </sheetViews>
  <sheetFormatPr defaultRowHeight="15" x14ac:dyDescent="0.25"/>
  <cols>
    <col min="1" max="1" width="4" style="145" customWidth="1"/>
    <col min="2" max="2" width="25.28515625" style="145" customWidth="1"/>
    <col min="3" max="3" width="8.7109375" style="145" customWidth="1"/>
    <col min="4" max="4" width="8" style="145" customWidth="1"/>
    <col min="5" max="5" width="10.28515625" style="145" customWidth="1"/>
    <col min="6" max="8" width="10.42578125" style="145" customWidth="1"/>
    <col min="9" max="9" width="11.5703125" style="145" customWidth="1"/>
    <col min="10" max="10" width="9.140625" style="145"/>
    <col min="11" max="11" width="10.5703125" style="145" bestFit="1" customWidth="1"/>
    <col min="12" max="254" width="9.140625" style="145"/>
    <col min="255" max="255" width="4" style="145" customWidth="1"/>
    <col min="256" max="256" width="10.5703125" style="145" customWidth="1"/>
    <col min="257" max="257" width="11.140625" style="145" customWidth="1"/>
    <col min="258" max="258" width="8.7109375" style="145" customWidth="1"/>
    <col min="259" max="259" width="8" style="145" customWidth="1"/>
    <col min="260" max="260" width="10.28515625" style="145" customWidth="1"/>
    <col min="261" max="261" width="7.140625" style="145" customWidth="1"/>
    <col min="262" max="262" width="6.85546875" style="145" customWidth="1"/>
    <col min="263" max="263" width="11.7109375" style="145" customWidth="1"/>
    <col min="264" max="264" width="11.5703125" style="145" customWidth="1"/>
    <col min="265" max="265" width="9.140625" style="145"/>
    <col min="266" max="266" width="10.5703125" style="145" bestFit="1" customWidth="1"/>
    <col min="267" max="267" width="9.140625" style="145"/>
    <col min="268" max="268" width="12.140625" style="145" customWidth="1"/>
    <col min="269" max="510" width="9.140625" style="145"/>
    <col min="511" max="511" width="4" style="145" customWidth="1"/>
    <col min="512" max="512" width="10.5703125" style="145" customWidth="1"/>
    <col min="513" max="513" width="11.140625" style="145" customWidth="1"/>
    <col min="514" max="514" width="8.7109375" style="145" customWidth="1"/>
    <col min="515" max="515" width="8" style="145" customWidth="1"/>
    <col min="516" max="516" width="10.28515625" style="145" customWidth="1"/>
    <col min="517" max="517" width="7.140625" style="145" customWidth="1"/>
    <col min="518" max="518" width="6.85546875" style="145" customWidth="1"/>
    <col min="519" max="519" width="11.7109375" style="145" customWidth="1"/>
    <col min="520" max="520" width="11.5703125" style="145" customWidth="1"/>
    <col min="521" max="521" width="9.140625" style="145"/>
    <col min="522" max="522" width="10.5703125" style="145" bestFit="1" customWidth="1"/>
    <col min="523" max="523" width="9.140625" style="145"/>
    <col min="524" max="524" width="12.140625" style="145" customWidth="1"/>
    <col min="525" max="766" width="9.140625" style="145"/>
    <col min="767" max="767" width="4" style="145" customWidth="1"/>
    <col min="768" max="768" width="10.5703125" style="145" customWidth="1"/>
    <col min="769" max="769" width="11.140625" style="145" customWidth="1"/>
    <col min="770" max="770" width="8.7109375" style="145" customWidth="1"/>
    <col min="771" max="771" width="8" style="145" customWidth="1"/>
    <col min="772" max="772" width="10.28515625" style="145" customWidth="1"/>
    <col min="773" max="773" width="7.140625" style="145" customWidth="1"/>
    <col min="774" max="774" width="6.85546875" style="145" customWidth="1"/>
    <col min="775" max="775" width="11.7109375" style="145" customWidth="1"/>
    <col min="776" max="776" width="11.5703125" style="145" customWidth="1"/>
    <col min="777" max="777" width="9.140625" style="145"/>
    <col min="778" max="778" width="10.5703125" style="145" bestFit="1" customWidth="1"/>
    <col min="779" max="779" width="9.140625" style="145"/>
    <col min="780" max="780" width="12.140625" style="145" customWidth="1"/>
    <col min="781" max="1022" width="9.140625" style="145"/>
    <col min="1023" max="1023" width="4" style="145" customWidth="1"/>
    <col min="1024" max="1024" width="10.5703125" style="145" customWidth="1"/>
    <col min="1025" max="1025" width="11.140625" style="145" customWidth="1"/>
    <col min="1026" max="1026" width="8.7109375" style="145" customWidth="1"/>
    <col min="1027" max="1027" width="8" style="145" customWidth="1"/>
    <col min="1028" max="1028" width="10.28515625" style="145" customWidth="1"/>
    <col min="1029" max="1029" width="7.140625" style="145" customWidth="1"/>
    <col min="1030" max="1030" width="6.85546875" style="145" customWidth="1"/>
    <col min="1031" max="1031" width="11.7109375" style="145" customWidth="1"/>
    <col min="1032" max="1032" width="11.5703125" style="145" customWidth="1"/>
    <col min="1033" max="1033" width="9.140625" style="145"/>
    <col min="1034" max="1034" width="10.5703125" style="145" bestFit="1" customWidth="1"/>
    <col min="1035" max="1035" width="9.140625" style="145"/>
    <col min="1036" max="1036" width="12.140625" style="145" customWidth="1"/>
    <col min="1037" max="1278" width="9.140625" style="145"/>
    <col min="1279" max="1279" width="4" style="145" customWidth="1"/>
    <col min="1280" max="1280" width="10.5703125" style="145" customWidth="1"/>
    <col min="1281" max="1281" width="11.140625" style="145" customWidth="1"/>
    <col min="1282" max="1282" width="8.7109375" style="145" customWidth="1"/>
    <col min="1283" max="1283" width="8" style="145" customWidth="1"/>
    <col min="1284" max="1284" width="10.28515625" style="145" customWidth="1"/>
    <col min="1285" max="1285" width="7.140625" style="145" customWidth="1"/>
    <col min="1286" max="1286" width="6.85546875" style="145" customWidth="1"/>
    <col min="1287" max="1287" width="11.7109375" style="145" customWidth="1"/>
    <col min="1288" max="1288" width="11.5703125" style="145" customWidth="1"/>
    <col min="1289" max="1289" width="9.140625" style="145"/>
    <col min="1290" max="1290" width="10.5703125" style="145" bestFit="1" customWidth="1"/>
    <col min="1291" max="1291" width="9.140625" style="145"/>
    <col min="1292" max="1292" width="12.140625" style="145" customWidth="1"/>
    <col min="1293" max="1534" width="9.140625" style="145"/>
    <col min="1535" max="1535" width="4" style="145" customWidth="1"/>
    <col min="1536" max="1536" width="10.5703125" style="145" customWidth="1"/>
    <col min="1537" max="1537" width="11.140625" style="145" customWidth="1"/>
    <col min="1538" max="1538" width="8.7109375" style="145" customWidth="1"/>
    <col min="1539" max="1539" width="8" style="145" customWidth="1"/>
    <col min="1540" max="1540" width="10.28515625" style="145" customWidth="1"/>
    <col min="1541" max="1541" width="7.140625" style="145" customWidth="1"/>
    <col min="1542" max="1542" width="6.85546875" style="145" customWidth="1"/>
    <col min="1543" max="1543" width="11.7109375" style="145" customWidth="1"/>
    <col min="1544" max="1544" width="11.5703125" style="145" customWidth="1"/>
    <col min="1545" max="1545" width="9.140625" style="145"/>
    <col min="1546" max="1546" width="10.5703125" style="145" bestFit="1" customWidth="1"/>
    <col min="1547" max="1547" width="9.140625" style="145"/>
    <col min="1548" max="1548" width="12.140625" style="145" customWidth="1"/>
    <col min="1549" max="1790" width="9.140625" style="145"/>
    <col min="1791" max="1791" width="4" style="145" customWidth="1"/>
    <col min="1792" max="1792" width="10.5703125" style="145" customWidth="1"/>
    <col min="1793" max="1793" width="11.140625" style="145" customWidth="1"/>
    <col min="1794" max="1794" width="8.7109375" style="145" customWidth="1"/>
    <col min="1795" max="1795" width="8" style="145" customWidth="1"/>
    <col min="1796" max="1796" width="10.28515625" style="145" customWidth="1"/>
    <col min="1797" max="1797" width="7.140625" style="145" customWidth="1"/>
    <col min="1798" max="1798" width="6.85546875" style="145" customWidth="1"/>
    <col min="1799" max="1799" width="11.7109375" style="145" customWidth="1"/>
    <col min="1800" max="1800" width="11.5703125" style="145" customWidth="1"/>
    <col min="1801" max="1801" width="9.140625" style="145"/>
    <col min="1802" max="1802" width="10.5703125" style="145" bestFit="1" customWidth="1"/>
    <col min="1803" max="1803" width="9.140625" style="145"/>
    <col min="1804" max="1804" width="12.140625" style="145" customWidth="1"/>
    <col min="1805" max="2046" width="9.140625" style="145"/>
    <col min="2047" max="2047" width="4" style="145" customWidth="1"/>
    <col min="2048" max="2048" width="10.5703125" style="145" customWidth="1"/>
    <col min="2049" max="2049" width="11.140625" style="145" customWidth="1"/>
    <col min="2050" max="2050" width="8.7109375" style="145" customWidth="1"/>
    <col min="2051" max="2051" width="8" style="145" customWidth="1"/>
    <col min="2052" max="2052" width="10.28515625" style="145" customWidth="1"/>
    <col min="2053" max="2053" width="7.140625" style="145" customWidth="1"/>
    <col min="2054" max="2054" width="6.85546875" style="145" customWidth="1"/>
    <col min="2055" max="2055" width="11.7109375" style="145" customWidth="1"/>
    <col min="2056" max="2056" width="11.5703125" style="145" customWidth="1"/>
    <col min="2057" max="2057" width="9.140625" style="145"/>
    <col min="2058" max="2058" width="10.5703125" style="145" bestFit="1" customWidth="1"/>
    <col min="2059" max="2059" width="9.140625" style="145"/>
    <col min="2060" max="2060" width="12.140625" style="145" customWidth="1"/>
    <col min="2061" max="2302" width="9.140625" style="145"/>
    <col min="2303" max="2303" width="4" style="145" customWidth="1"/>
    <col min="2304" max="2304" width="10.5703125" style="145" customWidth="1"/>
    <col min="2305" max="2305" width="11.140625" style="145" customWidth="1"/>
    <col min="2306" max="2306" width="8.7109375" style="145" customWidth="1"/>
    <col min="2307" max="2307" width="8" style="145" customWidth="1"/>
    <col min="2308" max="2308" width="10.28515625" style="145" customWidth="1"/>
    <col min="2309" max="2309" width="7.140625" style="145" customWidth="1"/>
    <col min="2310" max="2310" width="6.85546875" style="145" customWidth="1"/>
    <col min="2311" max="2311" width="11.7109375" style="145" customWidth="1"/>
    <col min="2312" max="2312" width="11.5703125" style="145" customWidth="1"/>
    <col min="2313" max="2313" width="9.140625" style="145"/>
    <col min="2314" max="2314" width="10.5703125" style="145" bestFit="1" customWidth="1"/>
    <col min="2315" max="2315" width="9.140625" style="145"/>
    <col min="2316" max="2316" width="12.140625" style="145" customWidth="1"/>
    <col min="2317" max="2558" width="9.140625" style="145"/>
    <col min="2559" max="2559" width="4" style="145" customWidth="1"/>
    <col min="2560" max="2560" width="10.5703125" style="145" customWidth="1"/>
    <col min="2561" max="2561" width="11.140625" style="145" customWidth="1"/>
    <col min="2562" max="2562" width="8.7109375" style="145" customWidth="1"/>
    <col min="2563" max="2563" width="8" style="145" customWidth="1"/>
    <col min="2564" max="2564" width="10.28515625" style="145" customWidth="1"/>
    <col min="2565" max="2565" width="7.140625" style="145" customWidth="1"/>
    <col min="2566" max="2566" width="6.85546875" style="145" customWidth="1"/>
    <col min="2567" max="2567" width="11.7109375" style="145" customWidth="1"/>
    <col min="2568" max="2568" width="11.5703125" style="145" customWidth="1"/>
    <col min="2569" max="2569" width="9.140625" style="145"/>
    <col min="2570" max="2570" width="10.5703125" style="145" bestFit="1" customWidth="1"/>
    <col min="2571" max="2571" width="9.140625" style="145"/>
    <col min="2572" max="2572" width="12.140625" style="145" customWidth="1"/>
    <col min="2573" max="2814" width="9.140625" style="145"/>
    <col min="2815" max="2815" width="4" style="145" customWidth="1"/>
    <col min="2816" max="2816" width="10.5703125" style="145" customWidth="1"/>
    <col min="2817" max="2817" width="11.140625" style="145" customWidth="1"/>
    <col min="2818" max="2818" width="8.7109375" style="145" customWidth="1"/>
    <col min="2819" max="2819" width="8" style="145" customWidth="1"/>
    <col min="2820" max="2820" width="10.28515625" style="145" customWidth="1"/>
    <col min="2821" max="2821" width="7.140625" style="145" customWidth="1"/>
    <col min="2822" max="2822" width="6.85546875" style="145" customWidth="1"/>
    <col min="2823" max="2823" width="11.7109375" style="145" customWidth="1"/>
    <col min="2824" max="2824" width="11.5703125" style="145" customWidth="1"/>
    <col min="2825" max="2825" width="9.140625" style="145"/>
    <col min="2826" max="2826" width="10.5703125" style="145" bestFit="1" customWidth="1"/>
    <col min="2827" max="2827" width="9.140625" style="145"/>
    <col min="2828" max="2828" width="12.140625" style="145" customWidth="1"/>
    <col min="2829" max="3070" width="9.140625" style="145"/>
    <col min="3071" max="3071" width="4" style="145" customWidth="1"/>
    <col min="3072" max="3072" width="10.5703125" style="145" customWidth="1"/>
    <col min="3073" max="3073" width="11.140625" style="145" customWidth="1"/>
    <col min="3074" max="3074" width="8.7109375" style="145" customWidth="1"/>
    <col min="3075" max="3075" width="8" style="145" customWidth="1"/>
    <col min="3076" max="3076" width="10.28515625" style="145" customWidth="1"/>
    <col min="3077" max="3077" width="7.140625" style="145" customWidth="1"/>
    <col min="3078" max="3078" width="6.85546875" style="145" customWidth="1"/>
    <col min="3079" max="3079" width="11.7109375" style="145" customWidth="1"/>
    <col min="3080" max="3080" width="11.5703125" style="145" customWidth="1"/>
    <col min="3081" max="3081" width="9.140625" style="145"/>
    <col min="3082" max="3082" width="10.5703125" style="145" bestFit="1" customWidth="1"/>
    <col min="3083" max="3083" width="9.140625" style="145"/>
    <col min="3084" max="3084" width="12.140625" style="145" customWidth="1"/>
    <col min="3085" max="3326" width="9.140625" style="145"/>
    <col min="3327" max="3327" width="4" style="145" customWidth="1"/>
    <col min="3328" max="3328" width="10.5703125" style="145" customWidth="1"/>
    <col min="3329" max="3329" width="11.140625" style="145" customWidth="1"/>
    <col min="3330" max="3330" width="8.7109375" style="145" customWidth="1"/>
    <col min="3331" max="3331" width="8" style="145" customWidth="1"/>
    <col min="3332" max="3332" width="10.28515625" style="145" customWidth="1"/>
    <col min="3333" max="3333" width="7.140625" style="145" customWidth="1"/>
    <col min="3334" max="3334" width="6.85546875" style="145" customWidth="1"/>
    <col min="3335" max="3335" width="11.7109375" style="145" customWidth="1"/>
    <col min="3336" max="3336" width="11.5703125" style="145" customWidth="1"/>
    <col min="3337" max="3337" width="9.140625" style="145"/>
    <col min="3338" max="3338" width="10.5703125" style="145" bestFit="1" customWidth="1"/>
    <col min="3339" max="3339" width="9.140625" style="145"/>
    <col min="3340" max="3340" width="12.140625" style="145" customWidth="1"/>
    <col min="3341" max="3582" width="9.140625" style="145"/>
    <col min="3583" max="3583" width="4" style="145" customWidth="1"/>
    <col min="3584" max="3584" width="10.5703125" style="145" customWidth="1"/>
    <col min="3585" max="3585" width="11.140625" style="145" customWidth="1"/>
    <col min="3586" max="3586" width="8.7109375" style="145" customWidth="1"/>
    <col min="3587" max="3587" width="8" style="145" customWidth="1"/>
    <col min="3588" max="3588" width="10.28515625" style="145" customWidth="1"/>
    <col min="3589" max="3589" width="7.140625" style="145" customWidth="1"/>
    <col min="3590" max="3590" width="6.85546875" style="145" customWidth="1"/>
    <col min="3591" max="3591" width="11.7109375" style="145" customWidth="1"/>
    <col min="3592" max="3592" width="11.5703125" style="145" customWidth="1"/>
    <col min="3593" max="3593" width="9.140625" style="145"/>
    <col min="3594" max="3594" width="10.5703125" style="145" bestFit="1" customWidth="1"/>
    <col min="3595" max="3595" width="9.140625" style="145"/>
    <col min="3596" max="3596" width="12.140625" style="145" customWidth="1"/>
    <col min="3597" max="3838" width="9.140625" style="145"/>
    <col min="3839" max="3839" width="4" style="145" customWidth="1"/>
    <col min="3840" max="3840" width="10.5703125" style="145" customWidth="1"/>
    <col min="3841" max="3841" width="11.140625" style="145" customWidth="1"/>
    <col min="3842" max="3842" width="8.7109375" style="145" customWidth="1"/>
    <col min="3843" max="3843" width="8" style="145" customWidth="1"/>
    <col min="3844" max="3844" width="10.28515625" style="145" customWidth="1"/>
    <col min="3845" max="3845" width="7.140625" style="145" customWidth="1"/>
    <col min="3846" max="3846" width="6.85546875" style="145" customWidth="1"/>
    <col min="3847" max="3847" width="11.7109375" style="145" customWidth="1"/>
    <col min="3848" max="3848" width="11.5703125" style="145" customWidth="1"/>
    <col min="3849" max="3849" width="9.140625" style="145"/>
    <col min="3850" max="3850" width="10.5703125" style="145" bestFit="1" customWidth="1"/>
    <col min="3851" max="3851" width="9.140625" style="145"/>
    <col min="3852" max="3852" width="12.140625" style="145" customWidth="1"/>
    <col min="3853" max="4094" width="9.140625" style="145"/>
    <col min="4095" max="4095" width="4" style="145" customWidth="1"/>
    <col min="4096" max="4096" width="10.5703125" style="145" customWidth="1"/>
    <col min="4097" max="4097" width="11.140625" style="145" customWidth="1"/>
    <col min="4098" max="4098" width="8.7109375" style="145" customWidth="1"/>
    <col min="4099" max="4099" width="8" style="145" customWidth="1"/>
    <col min="4100" max="4100" width="10.28515625" style="145" customWidth="1"/>
    <col min="4101" max="4101" width="7.140625" style="145" customWidth="1"/>
    <col min="4102" max="4102" width="6.85546875" style="145" customWidth="1"/>
    <col min="4103" max="4103" width="11.7109375" style="145" customWidth="1"/>
    <col min="4104" max="4104" width="11.5703125" style="145" customWidth="1"/>
    <col min="4105" max="4105" width="9.140625" style="145"/>
    <col min="4106" max="4106" width="10.5703125" style="145" bestFit="1" customWidth="1"/>
    <col min="4107" max="4107" width="9.140625" style="145"/>
    <col min="4108" max="4108" width="12.140625" style="145" customWidth="1"/>
    <col min="4109" max="4350" width="9.140625" style="145"/>
    <col min="4351" max="4351" width="4" style="145" customWidth="1"/>
    <col min="4352" max="4352" width="10.5703125" style="145" customWidth="1"/>
    <col min="4353" max="4353" width="11.140625" style="145" customWidth="1"/>
    <col min="4354" max="4354" width="8.7109375" style="145" customWidth="1"/>
    <col min="4355" max="4355" width="8" style="145" customWidth="1"/>
    <col min="4356" max="4356" width="10.28515625" style="145" customWidth="1"/>
    <col min="4357" max="4357" width="7.140625" style="145" customWidth="1"/>
    <col min="4358" max="4358" width="6.85546875" style="145" customWidth="1"/>
    <col min="4359" max="4359" width="11.7109375" style="145" customWidth="1"/>
    <col min="4360" max="4360" width="11.5703125" style="145" customWidth="1"/>
    <col min="4361" max="4361" width="9.140625" style="145"/>
    <col min="4362" max="4362" width="10.5703125" style="145" bestFit="1" customWidth="1"/>
    <col min="4363" max="4363" width="9.140625" style="145"/>
    <col min="4364" max="4364" width="12.140625" style="145" customWidth="1"/>
    <col min="4365" max="4606" width="9.140625" style="145"/>
    <col min="4607" max="4607" width="4" style="145" customWidth="1"/>
    <col min="4608" max="4608" width="10.5703125" style="145" customWidth="1"/>
    <col min="4609" max="4609" width="11.140625" style="145" customWidth="1"/>
    <col min="4610" max="4610" width="8.7109375" style="145" customWidth="1"/>
    <col min="4611" max="4611" width="8" style="145" customWidth="1"/>
    <col min="4612" max="4612" width="10.28515625" style="145" customWidth="1"/>
    <col min="4613" max="4613" width="7.140625" style="145" customWidth="1"/>
    <col min="4614" max="4614" width="6.85546875" style="145" customWidth="1"/>
    <col min="4615" max="4615" width="11.7109375" style="145" customWidth="1"/>
    <col min="4616" max="4616" width="11.5703125" style="145" customWidth="1"/>
    <col min="4617" max="4617" width="9.140625" style="145"/>
    <col min="4618" max="4618" width="10.5703125" style="145" bestFit="1" customWidth="1"/>
    <col min="4619" max="4619" width="9.140625" style="145"/>
    <col min="4620" max="4620" width="12.140625" style="145" customWidth="1"/>
    <col min="4621" max="4862" width="9.140625" style="145"/>
    <col min="4863" max="4863" width="4" style="145" customWidth="1"/>
    <col min="4864" max="4864" width="10.5703125" style="145" customWidth="1"/>
    <col min="4865" max="4865" width="11.140625" style="145" customWidth="1"/>
    <col min="4866" max="4866" width="8.7109375" style="145" customWidth="1"/>
    <col min="4867" max="4867" width="8" style="145" customWidth="1"/>
    <col min="4868" max="4868" width="10.28515625" style="145" customWidth="1"/>
    <col min="4869" max="4869" width="7.140625" style="145" customWidth="1"/>
    <col min="4870" max="4870" width="6.85546875" style="145" customWidth="1"/>
    <col min="4871" max="4871" width="11.7109375" style="145" customWidth="1"/>
    <col min="4872" max="4872" width="11.5703125" style="145" customWidth="1"/>
    <col min="4873" max="4873" width="9.140625" style="145"/>
    <col min="4874" max="4874" width="10.5703125" style="145" bestFit="1" customWidth="1"/>
    <col min="4875" max="4875" width="9.140625" style="145"/>
    <col min="4876" max="4876" width="12.140625" style="145" customWidth="1"/>
    <col min="4877" max="5118" width="9.140625" style="145"/>
    <col min="5119" max="5119" width="4" style="145" customWidth="1"/>
    <col min="5120" max="5120" width="10.5703125" style="145" customWidth="1"/>
    <col min="5121" max="5121" width="11.140625" style="145" customWidth="1"/>
    <col min="5122" max="5122" width="8.7109375" style="145" customWidth="1"/>
    <col min="5123" max="5123" width="8" style="145" customWidth="1"/>
    <col min="5124" max="5124" width="10.28515625" style="145" customWidth="1"/>
    <col min="5125" max="5125" width="7.140625" style="145" customWidth="1"/>
    <col min="5126" max="5126" width="6.85546875" style="145" customWidth="1"/>
    <col min="5127" max="5127" width="11.7109375" style="145" customWidth="1"/>
    <col min="5128" max="5128" width="11.5703125" style="145" customWidth="1"/>
    <col min="5129" max="5129" width="9.140625" style="145"/>
    <col min="5130" max="5130" width="10.5703125" style="145" bestFit="1" customWidth="1"/>
    <col min="5131" max="5131" width="9.140625" style="145"/>
    <col min="5132" max="5132" width="12.140625" style="145" customWidth="1"/>
    <col min="5133" max="5374" width="9.140625" style="145"/>
    <col min="5375" max="5375" width="4" style="145" customWidth="1"/>
    <col min="5376" max="5376" width="10.5703125" style="145" customWidth="1"/>
    <col min="5377" max="5377" width="11.140625" style="145" customWidth="1"/>
    <col min="5378" max="5378" width="8.7109375" style="145" customWidth="1"/>
    <col min="5379" max="5379" width="8" style="145" customWidth="1"/>
    <col min="5380" max="5380" width="10.28515625" style="145" customWidth="1"/>
    <col min="5381" max="5381" width="7.140625" style="145" customWidth="1"/>
    <col min="5382" max="5382" width="6.85546875" style="145" customWidth="1"/>
    <col min="5383" max="5383" width="11.7109375" style="145" customWidth="1"/>
    <col min="5384" max="5384" width="11.5703125" style="145" customWidth="1"/>
    <col min="5385" max="5385" width="9.140625" style="145"/>
    <col min="5386" max="5386" width="10.5703125" style="145" bestFit="1" customWidth="1"/>
    <col min="5387" max="5387" width="9.140625" style="145"/>
    <col min="5388" max="5388" width="12.140625" style="145" customWidth="1"/>
    <col min="5389" max="5630" width="9.140625" style="145"/>
    <col min="5631" max="5631" width="4" style="145" customWidth="1"/>
    <col min="5632" max="5632" width="10.5703125" style="145" customWidth="1"/>
    <col min="5633" max="5633" width="11.140625" style="145" customWidth="1"/>
    <col min="5634" max="5634" width="8.7109375" style="145" customWidth="1"/>
    <col min="5635" max="5635" width="8" style="145" customWidth="1"/>
    <col min="5636" max="5636" width="10.28515625" style="145" customWidth="1"/>
    <col min="5637" max="5637" width="7.140625" style="145" customWidth="1"/>
    <col min="5638" max="5638" width="6.85546875" style="145" customWidth="1"/>
    <col min="5639" max="5639" width="11.7109375" style="145" customWidth="1"/>
    <col min="5640" max="5640" width="11.5703125" style="145" customWidth="1"/>
    <col min="5641" max="5641" width="9.140625" style="145"/>
    <col min="5642" max="5642" width="10.5703125" style="145" bestFit="1" customWidth="1"/>
    <col min="5643" max="5643" width="9.140625" style="145"/>
    <col min="5644" max="5644" width="12.140625" style="145" customWidth="1"/>
    <col min="5645" max="5886" width="9.140625" style="145"/>
    <col min="5887" max="5887" width="4" style="145" customWidth="1"/>
    <col min="5888" max="5888" width="10.5703125" style="145" customWidth="1"/>
    <col min="5889" max="5889" width="11.140625" style="145" customWidth="1"/>
    <col min="5890" max="5890" width="8.7109375" style="145" customWidth="1"/>
    <col min="5891" max="5891" width="8" style="145" customWidth="1"/>
    <col min="5892" max="5892" width="10.28515625" style="145" customWidth="1"/>
    <col min="5893" max="5893" width="7.140625" style="145" customWidth="1"/>
    <col min="5894" max="5894" width="6.85546875" style="145" customWidth="1"/>
    <col min="5895" max="5895" width="11.7109375" style="145" customWidth="1"/>
    <col min="5896" max="5896" width="11.5703125" style="145" customWidth="1"/>
    <col min="5897" max="5897" width="9.140625" style="145"/>
    <col min="5898" max="5898" width="10.5703125" style="145" bestFit="1" customWidth="1"/>
    <col min="5899" max="5899" width="9.140625" style="145"/>
    <col min="5900" max="5900" width="12.140625" style="145" customWidth="1"/>
    <col min="5901" max="6142" width="9.140625" style="145"/>
    <col min="6143" max="6143" width="4" style="145" customWidth="1"/>
    <col min="6144" max="6144" width="10.5703125" style="145" customWidth="1"/>
    <col min="6145" max="6145" width="11.140625" style="145" customWidth="1"/>
    <col min="6146" max="6146" width="8.7109375" style="145" customWidth="1"/>
    <col min="6147" max="6147" width="8" style="145" customWidth="1"/>
    <col min="6148" max="6148" width="10.28515625" style="145" customWidth="1"/>
    <col min="6149" max="6149" width="7.140625" style="145" customWidth="1"/>
    <col min="6150" max="6150" width="6.85546875" style="145" customWidth="1"/>
    <col min="6151" max="6151" width="11.7109375" style="145" customWidth="1"/>
    <col min="6152" max="6152" width="11.5703125" style="145" customWidth="1"/>
    <col min="6153" max="6153" width="9.140625" style="145"/>
    <col min="6154" max="6154" width="10.5703125" style="145" bestFit="1" customWidth="1"/>
    <col min="6155" max="6155" width="9.140625" style="145"/>
    <col min="6156" max="6156" width="12.140625" style="145" customWidth="1"/>
    <col min="6157" max="6398" width="9.140625" style="145"/>
    <col min="6399" max="6399" width="4" style="145" customWidth="1"/>
    <col min="6400" max="6400" width="10.5703125" style="145" customWidth="1"/>
    <col min="6401" max="6401" width="11.140625" style="145" customWidth="1"/>
    <col min="6402" max="6402" width="8.7109375" style="145" customWidth="1"/>
    <col min="6403" max="6403" width="8" style="145" customWidth="1"/>
    <col min="6404" max="6404" width="10.28515625" style="145" customWidth="1"/>
    <col min="6405" max="6405" width="7.140625" style="145" customWidth="1"/>
    <col min="6406" max="6406" width="6.85546875" style="145" customWidth="1"/>
    <col min="6407" max="6407" width="11.7109375" style="145" customWidth="1"/>
    <col min="6408" max="6408" width="11.5703125" style="145" customWidth="1"/>
    <col min="6409" max="6409" width="9.140625" style="145"/>
    <col min="6410" max="6410" width="10.5703125" style="145" bestFit="1" customWidth="1"/>
    <col min="6411" max="6411" width="9.140625" style="145"/>
    <col min="6412" max="6412" width="12.140625" style="145" customWidth="1"/>
    <col min="6413" max="6654" width="9.140625" style="145"/>
    <col min="6655" max="6655" width="4" style="145" customWidth="1"/>
    <col min="6656" max="6656" width="10.5703125" style="145" customWidth="1"/>
    <col min="6657" max="6657" width="11.140625" style="145" customWidth="1"/>
    <col min="6658" max="6658" width="8.7109375" style="145" customWidth="1"/>
    <col min="6659" max="6659" width="8" style="145" customWidth="1"/>
    <col min="6660" max="6660" width="10.28515625" style="145" customWidth="1"/>
    <col min="6661" max="6661" width="7.140625" style="145" customWidth="1"/>
    <col min="6662" max="6662" width="6.85546875" style="145" customWidth="1"/>
    <col min="6663" max="6663" width="11.7109375" style="145" customWidth="1"/>
    <col min="6664" max="6664" width="11.5703125" style="145" customWidth="1"/>
    <col min="6665" max="6665" width="9.140625" style="145"/>
    <col min="6666" max="6666" width="10.5703125" style="145" bestFit="1" customWidth="1"/>
    <col min="6667" max="6667" width="9.140625" style="145"/>
    <col min="6668" max="6668" width="12.140625" style="145" customWidth="1"/>
    <col min="6669" max="6910" width="9.140625" style="145"/>
    <col min="6911" max="6911" width="4" style="145" customWidth="1"/>
    <col min="6912" max="6912" width="10.5703125" style="145" customWidth="1"/>
    <col min="6913" max="6913" width="11.140625" style="145" customWidth="1"/>
    <col min="6914" max="6914" width="8.7109375" style="145" customWidth="1"/>
    <col min="6915" max="6915" width="8" style="145" customWidth="1"/>
    <col min="6916" max="6916" width="10.28515625" style="145" customWidth="1"/>
    <col min="6917" max="6917" width="7.140625" style="145" customWidth="1"/>
    <col min="6918" max="6918" width="6.85546875" style="145" customWidth="1"/>
    <col min="6919" max="6919" width="11.7109375" style="145" customWidth="1"/>
    <col min="6920" max="6920" width="11.5703125" style="145" customWidth="1"/>
    <col min="6921" max="6921" width="9.140625" style="145"/>
    <col min="6922" max="6922" width="10.5703125" style="145" bestFit="1" customWidth="1"/>
    <col min="6923" max="6923" width="9.140625" style="145"/>
    <col min="6924" max="6924" width="12.140625" style="145" customWidth="1"/>
    <col min="6925" max="7166" width="9.140625" style="145"/>
    <col min="7167" max="7167" width="4" style="145" customWidth="1"/>
    <col min="7168" max="7168" width="10.5703125" style="145" customWidth="1"/>
    <col min="7169" max="7169" width="11.140625" style="145" customWidth="1"/>
    <col min="7170" max="7170" width="8.7109375" style="145" customWidth="1"/>
    <col min="7171" max="7171" width="8" style="145" customWidth="1"/>
    <col min="7172" max="7172" width="10.28515625" style="145" customWidth="1"/>
    <col min="7173" max="7173" width="7.140625" style="145" customWidth="1"/>
    <col min="7174" max="7174" width="6.85546875" style="145" customWidth="1"/>
    <col min="7175" max="7175" width="11.7109375" style="145" customWidth="1"/>
    <col min="7176" max="7176" width="11.5703125" style="145" customWidth="1"/>
    <col min="7177" max="7177" width="9.140625" style="145"/>
    <col min="7178" max="7178" width="10.5703125" style="145" bestFit="1" customWidth="1"/>
    <col min="7179" max="7179" width="9.140625" style="145"/>
    <col min="7180" max="7180" width="12.140625" style="145" customWidth="1"/>
    <col min="7181" max="7422" width="9.140625" style="145"/>
    <col min="7423" max="7423" width="4" style="145" customWidth="1"/>
    <col min="7424" max="7424" width="10.5703125" style="145" customWidth="1"/>
    <col min="7425" max="7425" width="11.140625" style="145" customWidth="1"/>
    <col min="7426" max="7426" width="8.7109375" style="145" customWidth="1"/>
    <col min="7427" max="7427" width="8" style="145" customWidth="1"/>
    <col min="7428" max="7428" width="10.28515625" style="145" customWidth="1"/>
    <col min="7429" max="7429" width="7.140625" style="145" customWidth="1"/>
    <col min="7430" max="7430" width="6.85546875" style="145" customWidth="1"/>
    <col min="7431" max="7431" width="11.7109375" style="145" customWidth="1"/>
    <col min="7432" max="7432" width="11.5703125" style="145" customWidth="1"/>
    <col min="7433" max="7433" width="9.140625" style="145"/>
    <col min="7434" max="7434" width="10.5703125" style="145" bestFit="1" customWidth="1"/>
    <col min="7435" max="7435" width="9.140625" style="145"/>
    <col min="7436" max="7436" width="12.140625" style="145" customWidth="1"/>
    <col min="7437" max="7678" width="9.140625" style="145"/>
    <col min="7679" max="7679" width="4" style="145" customWidth="1"/>
    <col min="7680" max="7680" width="10.5703125" style="145" customWidth="1"/>
    <col min="7681" max="7681" width="11.140625" style="145" customWidth="1"/>
    <col min="7682" max="7682" width="8.7109375" style="145" customWidth="1"/>
    <col min="7683" max="7683" width="8" style="145" customWidth="1"/>
    <col min="7684" max="7684" width="10.28515625" style="145" customWidth="1"/>
    <col min="7685" max="7685" width="7.140625" style="145" customWidth="1"/>
    <col min="7686" max="7686" width="6.85546875" style="145" customWidth="1"/>
    <col min="7687" max="7687" width="11.7109375" style="145" customWidth="1"/>
    <col min="7688" max="7688" width="11.5703125" style="145" customWidth="1"/>
    <col min="7689" max="7689" width="9.140625" style="145"/>
    <col min="7690" max="7690" width="10.5703125" style="145" bestFit="1" customWidth="1"/>
    <col min="7691" max="7691" width="9.140625" style="145"/>
    <col min="7692" max="7692" width="12.140625" style="145" customWidth="1"/>
    <col min="7693" max="7934" width="9.140625" style="145"/>
    <col min="7935" max="7935" width="4" style="145" customWidth="1"/>
    <col min="7936" max="7936" width="10.5703125" style="145" customWidth="1"/>
    <col min="7937" max="7937" width="11.140625" style="145" customWidth="1"/>
    <col min="7938" max="7938" width="8.7109375" style="145" customWidth="1"/>
    <col min="7939" max="7939" width="8" style="145" customWidth="1"/>
    <col min="7940" max="7940" width="10.28515625" style="145" customWidth="1"/>
    <col min="7941" max="7941" width="7.140625" style="145" customWidth="1"/>
    <col min="7942" max="7942" width="6.85546875" style="145" customWidth="1"/>
    <col min="7943" max="7943" width="11.7109375" style="145" customWidth="1"/>
    <col min="7944" max="7944" width="11.5703125" style="145" customWidth="1"/>
    <col min="7945" max="7945" width="9.140625" style="145"/>
    <col min="7946" max="7946" width="10.5703125" style="145" bestFit="1" customWidth="1"/>
    <col min="7947" max="7947" width="9.140625" style="145"/>
    <col min="7948" max="7948" width="12.140625" style="145" customWidth="1"/>
    <col min="7949" max="8190" width="9.140625" style="145"/>
    <col min="8191" max="8191" width="4" style="145" customWidth="1"/>
    <col min="8192" max="8192" width="10.5703125" style="145" customWidth="1"/>
    <col min="8193" max="8193" width="11.140625" style="145" customWidth="1"/>
    <col min="8194" max="8194" width="8.7109375" style="145" customWidth="1"/>
    <col min="8195" max="8195" width="8" style="145" customWidth="1"/>
    <col min="8196" max="8196" width="10.28515625" style="145" customWidth="1"/>
    <col min="8197" max="8197" width="7.140625" style="145" customWidth="1"/>
    <col min="8198" max="8198" width="6.85546875" style="145" customWidth="1"/>
    <col min="8199" max="8199" width="11.7109375" style="145" customWidth="1"/>
    <col min="8200" max="8200" width="11.5703125" style="145" customWidth="1"/>
    <col min="8201" max="8201" width="9.140625" style="145"/>
    <col min="8202" max="8202" width="10.5703125" style="145" bestFit="1" customWidth="1"/>
    <col min="8203" max="8203" width="9.140625" style="145"/>
    <col min="8204" max="8204" width="12.140625" style="145" customWidth="1"/>
    <col min="8205" max="8446" width="9.140625" style="145"/>
    <col min="8447" max="8447" width="4" style="145" customWidth="1"/>
    <col min="8448" max="8448" width="10.5703125" style="145" customWidth="1"/>
    <col min="8449" max="8449" width="11.140625" style="145" customWidth="1"/>
    <col min="8450" max="8450" width="8.7109375" style="145" customWidth="1"/>
    <col min="8451" max="8451" width="8" style="145" customWidth="1"/>
    <col min="8452" max="8452" width="10.28515625" style="145" customWidth="1"/>
    <col min="8453" max="8453" width="7.140625" style="145" customWidth="1"/>
    <col min="8454" max="8454" width="6.85546875" style="145" customWidth="1"/>
    <col min="8455" max="8455" width="11.7109375" style="145" customWidth="1"/>
    <col min="8456" max="8456" width="11.5703125" style="145" customWidth="1"/>
    <col min="8457" max="8457" width="9.140625" style="145"/>
    <col min="8458" max="8458" width="10.5703125" style="145" bestFit="1" customWidth="1"/>
    <col min="8459" max="8459" width="9.140625" style="145"/>
    <col min="8460" max="8460" width="12.140625" style="145" customWidth="1"/>
    <col min="8461" max="8702" width="9.140625" style="145"/>
    <col min="8703" max="8703" width="4" style="145" customWidth="1"/>
    <col min="8704" max="8704" width="10.5703125" style="145" customWidth="1"/>
    <col min="8705" max="8705" width="11.140625" style="145" customWidth="1"/>
    <col min="8706" max="8706" width="8.7109375" style="145" customWidth="1"/>
    <col min="8707" max="8707" width="8" style="145" customWidth="1"/>
    <col min="8708" max="8708" width="10.28515625" style="145" customWidth="1"/>
    <col min="8709" max="8709" width="7.140625" style="145" customWidth="1"/>
    <col min="8710" max="8710" width="6.85546875" style="145" customWidth="1"/>
    <col min="8711" max="8711" width="11.7109375" style="145" customWidth="1"/>
    <col min="8712" max="8712" width="11.5703125" style="145" customWidth="1"/>
    <col min="8713" max="8713" width="9.140625" style="145"/>
    <col min="8714" max="8714" width="10.5703125" style="145" bestFit="1" customWidth="1"/>
    <col min="8715" max="8715" width="9.140625" style="145"/>
    <col min="8716" max="8716" width="12.140625" style="145" customWidth="1"/>
    <col min="8717" max="8958" width="9.140625" style="145"/>
    <col min="8959" max="8959" width="4" style="145" customWidth="1"/>
    <col min="8960" max="8960" width="10.5703125" style="145" customWidth="1"/>
    <col min="8961" max="8961" width="11.140625" style="145" customWidth="1"/>
    <col min="8962" max="8962" width="8.7109375" style="145" customWidth="1"/>
    <col min="8963" max="8963" width="8" style="145" customWidth="1"/>
    <col min="8964" max="8964" width="10.28515625" style="145" customWidth="1"/>
    <col min="8965" max="8965" width="7.140625" style="145" customWidth="1"/>
    <col min="8966" max="8966" width="6.85546875" style="145" customWidth="1"/>
    <col min="8967" max="8967" width="11.7109375" style="145" customWidth="1"/>
    <col min="8968" max="8968" width="11.5703125" style="145" customWidth="1"/>
    <col min="8969" max="8969" width="9.140625" style="145"/>
    <col min="8970" max="8970" width="10.5703125" style="145" bestFit="1" customWidth="1"/>
    <col min="8971" max="8971" width="9.140625" style="145"/>
    <col min="8972" max="8972" width="12.140625" style="145" customWidth="1"/>
    <col min="8973" max="9214" width="9.140625" style="145"/>
    <col min="9215" max="9215" width="4" style="145" customWidth="1"/>
    <col min="9216" max="9216" width="10.5703125" style="145" customWidth="1"/>
    <col min="9217" max="9217" width="11.140625" style="145" customWidth="1"/>
    <col min="9218" max="9218" width="8.7109375" style="145" customWidth="1"/>
    <col min="9219" max="9219" width="8" style="145" customWidth="1"/>
    <col min="9220" max="9220" width="10.28515625" style="145" customWidth="1"/>
    <col min="9221" max="9221" width="7.140625" style="145" customWidth="1"/>
    <col min="9222" max="9222" width="6.85546875" style="145" customWidth="1"/>
    <col min="9223" max="9223" width="11.7109375" style="145" customWidth="1"/>
    <col min="9224" max="9224" width="11.5703125" style="145" customWidth="1"/>
    <col min="9225" max="9225" width="9.140625" style="145"/>
    <col min="9226" max="9226" width="10.5703125" style="145" bestFit="1" customWidth="1"/>
    <col min="9227" max="9227" width="9.140625" style="145"/>
    <col min="9228" max="9228" width="12.140625" style="145" customWidth="1"/>
    <col min="9229" max="9470" width="9.140625" style="145"/>
    <col min="9471" max="9471" width="4" style="145" customWidth="1"/>
    <col min="9472" max="9472" width="10.5703125" style="145" customWidth="1"/>
    <col min="9473" max="9473" width="11.140625" style="145" customWidth="1"/>
    <col min="9474" max="9474" width="8.7109375" style="145" customWidth="1"/>
    <col min="9475" max="9475" width="8" style="145" customWidth="1"/>
    <col min="9476" max="9476" width="10.28515625" style="145" customWidth="1"/>
    <col min="9477" max="9477" width="7.140625" style="145" customWidth="1"/>
    <col min="9478" max="9478" width="6.85546875" style="145" customWidth="1"/>
    <col min="9479" max="9479" width="11.7109375" style="145" customWidth="1"/>
    <col min="9480" max="9480" width="11.5703125" style="145" customWidth="1"/>
    <col min="9481" max="9481" width="9.140625" style="145"/>
    <col min="9482" max="9482" width="10.5703125" style="145" bestFit="1" customWidth="1"/>
    <col min="9483" max="9483" width="9.140625" style="145"/>
    <col min="9484" max="9484" width="12.140625" style="145" customWidth="1"/>
    <col min="9485" max="9726" width="9.140625" style="145"/>
    <col min="9727" max="9727" width="4" style="145" customWidth="1"/>
    <col min="9728" max="9728" width="10.5703125" style="145" customWidth="1"/>
    <col min="9729" max="9729" width="11.140625" style="145" customWidth="1"/>
    <col min="9730" max="9730" width="8.7109375" style="145" customWidth="1"/>
    <col min="9731" max="9731" width="8" style="145" customWidth="1"/>
    <col min="9732" max="9732" width="10.28515625" style="145" customWidth="1"/>
    <col min="9733" max="9733" width="7.140625" style="145" customWidth="1"/>
    <col min="9734" max="9734" width="6.85546875" style="145" customWidth="1"/>
    <col min="9735" max="9735" width="11.7109375" style="145" customWidth="1"/>
    <col min="9736" max="9736" width="11.5703125" style="145" customWidth="1"/>
    <col min="9737" max="9737" width="9.140625" style="145"/>
    <col min="9738" max="9738" width="10.5703125" style="145" bestFit="1" customWidth="1"/>
    <col min="9739" max="9739" width="9.140625" style="145"/>
    <col min="9740" max="9740" width="12.140625" style="145" customWidth="1"/>
    <col min="9741" max="9982" width="9.140625" style="145"/>
    <col min="9983" max="9983" width="4" style="145" customWidth="1"/>
    <col min="9984" max="9984" width="10.5703125" style="145" customWidth="1"/>
    <col min="9985" max="9985" width="11.140625" style="145" customWidth="1"/>
    <col min="9986" max="9986" width="8.7109375" style="145" customWidth="1"/>
    <col min="9987" max="9987" width="8" style="145" customWidth="1"/>
    <col min="9988" max="9988" width="10.28515625" style="145" customWidth="1"/>
    <col min="9989" max="9989" width="7.140625" style="145" customWidth="1"/>
    <col min="9990" max="9990" width="6.85546875" style="145" customWidth="1"/>
    <col min="9991" max="9991" width="11.7109375" style="145" customWidth="1"/>
    <col min="9992" max="9992" width="11.5703125" style="145" customWidth="1"/>
    <col min="9993" max="9993" width="9.140625" style="145"/>
    <col min="9994" max="9994" width="10.5703125" style="145" bestFit="1" customWidth="1"/>
    <col min="9995" max="9995" width="9.140625" style="145"/>
    <col min="9996" max="9996" width="12.140625" style="145" customWidth="1"/>
    <col min="9997" max="10238" width="9.140625" style="145"/>
    <col min="10239" max="10239" width="4" style="145" customWidth="1"/>
    <col min="10240" max="10240" width="10.5703125" style="145" customWidth="1"/>
    <col min="10241" max="10241" width="11.140625" style="145" customWidth="1"/>
    <col min="10242" max="10242" width="8.7109375" style="145" customWidth="1"/>
    <col min="10243" max="10243" width="8" style="145" customWidth="1"/>
    <col min="10244" max="10244" width="10.28515625" style="145" customWidth="1"/>
    <col min="10245" max="10245" width="7.140625" style="145" customWidth="1"/>
    <col min="10246" max="10246" width="6.85546875" style="145" customWidth="1"/>
    <col min="10247" max="10247" width="11.7109375" style="145" customWidth="1"/>
    <col min="10248" max="10248" width="11.5703125" style="145" customWidth="1"/>
    <col min="10249" max="10249" width="9.140625" style="145"/>
    <col min="10250" max="10250" width="10.5703125" style="145" bestFit="1" customWidth="1"/>
    <col min="10251" max="10251" width="9.140625" style="145"/>
    <col min="10252" max="10252" width="12.140625" style="145" customWidth="1"/>
    <col min="10253" max="10494" width="9.140625" style="145"/>
    <col min="10495" max="10495" width="4" style="145" customWidth="1"/>
    <col min="10496" max="10496" width="10.5703125" style="145" customWidth="1"/>
    <col min="10497" max="10497" width="11.140625" style="145" customWidth="1"/>
    <col min="10498" max="10498" width="8.7109375" style="145" customWidth="1"/>
    <col min="10499" max="10499" width="8" style="145" customWidth="1"/>
    <col min="10500" max="10500" width="10.28515625" style="145" customWidth="1"/>
    <col min="10501" max="10501" width="7.140625" style="145" customWidth="1"/>
    <col min="10502" max="10502" width="6.85546875" style="145" customWidth="1"/>
    <col min="10503" max="10503" width="11.7109375" style="145" customWidth="1"/>
    <col min="10504" max="10504" width="11.5703125" style="145" customWidth="1"/>
    <col min="10505" max="10505" width="9.140625" style="145"/>
    <col min="10506" max="10506" width="10.5703125" style="145" bestFit="1" customWidth="1"/>
    <col min="10507" max="10507" width="9.140625" style="145"/>
    <col min="10508" max="10508" width="12.140625" style="145" customWidth="1"/>
    <col min="10509" max="10750" width="9.140625" style="145"/>
    <col min="10751" max="10751" width="4" style="145" customWidth="1"/>
    <col min="10752" max="10752" width="10.5703125" style="145" customWidth="1"/>
    <col min="10753" max="10753" width="11.140625" style="145" customWidth="1"/>
    <col min="10754" max="10754" width="8.7109375" style="145" customWidth="1"/>
    <col min="10755" max="10755" width="8" style="145" customWidth="1"/>
    <col min="10756" max="10756" width="10.28515625" style="145" customWidth="1"/>
    <col min="10757" max="10757" width="7.140625" style="145" customWidth="1"/>
    <col min="10758" max="10758" width="6.85546875" style="145" customWidth="1"/>
    <col min="10759" max="10759" width="11.7109375" style="145" customWidth="1"/>
    <col min="10760" max="10760" width="11.5703125" style="145" customWidth="1"/>
    <col min="10761" max="10761" width="9.140625" style="145"/>
    <col min="10762" max="10762" width="10.5703125" style="145" bestFit="1" customWidth="1"/>
    <col min="10763" max="10763" width="9.140625" style="145"/>
    <col min="10764" max="10764" width="12.140625" style="145" customWidth="1"/>
    <col min="10765" max="11006" width="9.140625" style="145"/>
    <col min="11007" max="11007" width="4" style="145" customWidth="1"/>
    <col min="11008" max="11008" width="10.5703125" style="145" customWidth="1"/>
    <col min="11009" max="11009" width="11.140625" style="145" customWidth="1"/>
    <col min="11010" max="11010" width="8.7109375" style="145" customWidth="1"/>
    <col min="11011" max="11011" width="8" style="145" customWidth="1"/>
    <col min="11012" max="11012" width="10.28515625" style="145" customWidth="1"/>
    <col min="11013" max="11013" width="7.140625" style="145" customWidth="1"/>
    <col min="11014" max="11014" width="6.85546875" style="145" customWidth="1"/>
    <col min="11015" max="11015" width="11.7109375" style="145" customWidth="1"/>
    <col min="11016" max="11016" width="11.5703125" style="145" customWidth="1"/>
    <col min="11017" max="11017" width="9.140625" style="145"/>
    <col min="11018" max="11018" width="10.5703125" style="145" bestFit="1" customWidth="1"/>
    <col min="11019" max="11019" width="9.140625" style="145"/>
    <col min="11020" max="11020" width="12.140625" style="145" customWidth="1"/>
    <col min="11021" max="11262" width="9.140625" style="145"/>
    <col min="11263" max="11263" width="4" style="145" customWidth="1"/>
    <col min="11264" max="11264" width="10.5703125" style="145" customWidth="1"/>
    <col min="11265" max="11265" width="11.140625" style="145" customWidth="1"/>
    <col min="11266" max="11266" width="8.7109375" style="145" customWidth="1"/>
    <col min="11267" max="11267" width="8" style="145" customWidth="1"/>
    <col min="11268" max="11268" width="10.28515625" style="145" customWidth="1"/>
    <col min="11269" max="11269" width="7.140625" style="145" customWidth="1"/>
    <col min="11270" max="11270" width="6.85546875" style="145" customWidth="1"/>
    <col min="11271" max="11271" width="11.7109375" style="145" customWidth="1"/>
    <col min="11272" max="11272" width="11.5703125" style="145" customWidth="1"/>
    <col min="11273" max="11273" width="9.140625" style="145"/>
    <col min="11274" max="11274" width="10.5703125" style="145" bestFit="1" customWidth="1"/>
    <col min="11275" max="11275" width="9.140625" style="145"/>
    <col min="11276" max="11276" width="12.140625" style="145" customWidth="1"/>
    <col min="11277" max="11518" width="9.140625" style="145"/>
    <col min="11519" max="11519" width="4" style="145" customWidth="1"/>
    <col min="11520" max="11520" width="10.5703125" style="145" customWidth="1"/>
    <col min="11521" max="11521" width="11.140625" style="145" customWidth="1"/>
    <col min="11522" max="11522" width="8.7109375" style="145" customWidth="1"/>
    <col min="11523" max="11523" width="8" style="145" customWidth="1"/>
    <col min="11524" max="11524" width="10.28515625" style="145" customWidth="1"/>
    <col min="11525" max="11525" width="7.140625" style="145" customWidth="1"/>
    <col min="11526" max="11526" width="6.85546875" style="145" customWidth="1"/>
    <col min="11527" max="11527" width="11.7109375" style="145" customWidth="1"/>
    <col min="11528" max="11528" width="11.5703125" style="145" customWidth="1"/>
    <col min="11529" max="11529" width="9.140625" style="145"/>
    <col min="11530" max="11530" width="10.5703125" style="145" bestFit="1" customWidth="1"/>
    <col min="11531" max="11531" width="9.140625" style="145"/>
    <col min="11532" max="11532" width="12.140625" style="145" customWidth="1"/>
    <col min="11533" max="11774" width="9.140625" style="145"/>
    <col min="11775" max="11775" width="4" style="145" customWidth="1"/>
    <col min="11776" max="11776" width="10.5703125" style="145" customWidth="1"/>
    <col min="11777" max="11777" width="11.140625" style="145" customWidth="1"/>
    <col min="11778" max="11778" width="8.7109375" style="145" customWidth="1"/>
    <col min="11779" max="11779" width="8" style="145" customWidth="1"/>
    <col min="11780" max="11780" width="10.28515625" style="145" customWidth="1"/>
    <col min="11781" max="11781" width="7.140625" style="145" customWidth="1"/>
    <col min="11782" max="11782" width="6.85546875" style="145" customWidth="1"/>
    <col min="11783" max="11783" width="11.7109375" style="145" customWidth="1"/>
    <col min="11784" max="11784" width="11.5703125" style="145" customWidth="1"/>
    <col min="11785" max="11785" width="9.140625" style="145"/>
    <col min="11786" max="11786" width="10.5703125" style="145" bestFit="1" customWidth="1"/>
    <col min="11787" max="11787" width="9.140625" style="145"/>
    <col min="11788" max="11788" width="12.140625" style="145" customWidth="1"/>
    <col min="11789" max="12030" width="9.140625" style="145"/>
    <col min="12031" max="12031" width="4" style="145" customWidth="1"/>
    <col min="12032" max="12032" width="10.5703125" style="145" customWidth="1"/>
    <col min="12033" max="12033" width="11.140625" style="145" customWidth="1"/>
    <col min="12034" max="12034" width="8.7109375" style="145" customWidth="1"/>
    <col min="12035" max="12035" width="8" style="145" customWidth="1"/>
    <col min="12036" max="12036" width="10.28515625" style="145" customWidth="1"/>
    <col min="12037" max="12037" width="7.140625" style="145" customWidth="1"/>
    <col min="12038" max="12038" width="6.85546875" style="145" customWidth="1"/>
    <col min="12039" max="12039" width="11.7109375" style="145" customWidth="1"/>
    <col min="12040" max="12040" width="11.5703125" style="145" customWidth="1"/>
    <col min="12041" max="12041" width="9.140625" style="145"/>
    <col min="12042" max="12042" width="10.5703125" style="145" bestFit="1" customWidth="1"/>
    <col min="12043" max="12043" width="9.140625" style="145"/>
    <col min="12044" max="12044" width="12.140625" style="145" customWidth="1"/>
    <col min="12045" max="12286" width="9.140625" style="145"/>
    <col min="12287" max="12287" width="4" style="145" customWidth="1"/>
    <col min="12288" max="12288" width="10.5703125" style="145" customWidth="1"/>
    <col min="12289" max="12289" width="11.140625" style="145" customWidth="1"/>
    <col min="12290" max="12290" width="8.7109375" style="145" customWidth="1"/>
    <col min="12291" max="12291" width="8" style="145" customWidth="1"/>
    <col min="12292" max="12292" width="10.28515625" style="145" customWidth="1"/>
    <col min="12293" max="12293" width="7.140625" style="145" customWidth="1"/>
    <col min="12294" max="12294" width="6.85546875" style="145" customWidth="1"/>
    <col min="12295" max="12295" width="11.7109375" style="145" customWidth="1"/>
    <col min="12296" max="12296" width="11.5703125" style="145" customWidth="1"/>
    <col min="12297" max="12297" width="9.140625" style="145"/>
    <col min="12298" max="12298" width="10.5703125" style="145" bestFit="1" customWidth="1"/>
    <col min="12299" max="12299" width="9.140625" style="145"/>
    <col min="12300" max="12300" width="12.140625" style="145" customWidth="1"/>
    <col min="12301" max="12542" width="9.140625" style="145"/>
    <col min="12543" max="12543" width="4" style="145" customWidth="1"/>
    <col min="12544" max="12544" width="10.5703125" style="145" customWidth="1"/>
    <col min="12545" max="12545" width="11.140625" style="145" customWidth="1"/>
    <col min="12546" max="12546" width="8.7109375" style="145" customWidth="1"/>
    <col min="12547" max="12547" width="8" style="145" customWidth="1"/>
    <col min="12548" max="12548" width="10.28515625" style="145" customWidth="1"/>
    <col min="12549" max="12549" width="7.140625" style="145" customWidth="1"/>
    <col min="12550" max="12550" width="6.85546875" style="145" customWidth="1"/>
    <col min="12551" max="12551" width="11.7109375" style="145" customWidth="1"/>
    <col min="12552" max="12552" width="11.5703125" style="145" customWidth="1"/>
    <col min="12553" max="12553" width="9.140625" style="145"/>
    <col min="12554" max="12554" width="10.5703125" style="145" bestFit="1" customWidth="1"/>
    <col min="12555" max="12555" width="9.140625" style="145"/>
    <col min="12556" max="12556" width="12.140625" style="145" customWidth="1"/>
    <col min="12557" max="12798" width="9.140625" style="145"/>
    <col min="12799" max="12799" width="4" style="145" customWidth="1"/>
    <col min="12800" max="12800" width="10.5703125" style="145" customWidth="1"/>
    <col min="12801" max="12801" width="11.140625" style="145" customWidth="1"/>
    <col min="12802" max="12802" width="8.7109375" style="145" customWidth="1"/>
    <col min="12803" max="12803" width="8" style="145" customWidth="1"/>
    <col min="12804" max="12804" width="10.28515625" style="145" customWidth="1"/>
    <col min="12805" max="12805" width="7.140625" style="145" customWidth="1"/>
    <col min="12806" max="12806" width="6.85546875" style="145" customWidth="1"/>
    <col min="12807" max="12807" width="11.7109375" style="145" customWidth="1"/>
    <col min="12808" max="12808" width="11.5703125" style="145" customWidth="1"/>
    <col min="12809" max="12809" width="9.140625" style="145"/>
    <col min="12810" max="12810" width="10.5703125" style="145" bestFit="1" customWidth="1"/>
    <col min="12811" max="12811" width="9.140625" style="145"/>
    <col min="12812" max="12812" width="12.140625" style="145" customWidth="1"/>
    <col min="12813" max="13054" width="9.140625" style="145"/>
    <col min="13055" max="13055" width="4" style="145" customWidth="1"/>
    <col min="13056" max="13056" width="10.5703125" style="145" customWidth="1"/>
    <col min="13057" max="13057" width="11.140625" style="145" customWidth="1"/>
    <col min="13058" max="13058" width="8.7109375" style="145" customWidth="1"/>
    <col min="13059" max="13059" width="8" style="145" customWidth="1"/>
    <col min="13060" max="13060" width="10.28515625" style="145" customWidth="1"/>
    <col min="13061" max="13061" width="7.140625" style="145" customWidth="1"/>
    <col min="13062" max="13062" width="6.85546875" style="145" customWidth="1"/>
    <col min="13063" max="13063" width="11.7109375" style="145" customWidth="1"/>
    <col min="13064" max="13064" width="11.5703125" style="145" customWidth="1"/>
    <col min="13065" max="13065" width="9.140625" style="145"/>
    <col min="13066" max="13066" width="10.5703125" style="145" bestFit="1" customWidth="1"/>
    <col min="13067" max="13067" width="9.140625" style="145"/>
    <col min="13068" max="13068" width="12.140625" style="145" customWidth="1"/>
    <col min="13069" max="13310" width="9.140625" style="145"/>
    <col min="13311" max="13311" width="4" style="145" customWidth="1"/>
    <col min="13312" max="13312" width="10.5703125" style="145" customWidth="1"/>
    <col min="13313" max="13313" width="11.140625" style="145" customWidth="1"/>
    <col min="13314" max="13314" width="8.7109375" style="145" customWidth="1"/>
    <col min="13315" max="13315" width="8" style="145" customWidth="1"/>
    <col min="13316" max="13316" width="10.28515625" style="145" customWidth="1"/>
    <col min="13317" max="13317" width="7.140625" style="145" customWidth="1"/>
    <col min="13318" max="13318" width="6.85546875" style="145" customWidth="1"/>
    <col min="13319" max="13319" width="11.7109375" style="145" customWidth="1"/>
    <col min="13320" max="13320" width="11.5703125" style="145" customWidth="1"/>
    <col min="13321" max="13321" width="9.140625" style="145"/>
    <col min="13322" max="13322" width="10.5703125" style="145" bestFit="1" customWidth="1"/>
    <col min="13323" max="13323" width="9.140625" style="145"/>
    <col min="13324" max="13324" width="12.140625" style="145" customWidth="1"/>
    <col min="13325" max="13566" width="9.140625" style="145"/>
    <col min="13567" max="13567" width="4" style="145" customWidth="1"/>
    <col min="13568" max="13568" width="10.5703125" style="145" customWidth="1"/>
    <col min="13569" max="13569" width="11.140625" style="145" customWidth="1"/>
    <col min="13570" max="13570" width="8.7109375" style="145" customWidth="1"/>
    <col min="13571" max="13571" width="8" style="145" customWidth="1"/>
    <col min="13572" max="13572" width="10.28515625" style="145" customWidth="1"/>
    <col min="13573" max="13573" width="7.140625" style="145" customWidth="1"/>
    <col min="13574" max="13574" width="6.85546875" style="145" customWidth="1"/>
    <col min="13575" max="13575" width="11.7109375" style="145" customWidth="1"/>
    <col min="13576" max="13576" width="11.5703125" style="145" customWidth="1"/>
    <col min="13577" max="13577" width="9.140625" style="145"/>
    <col min="13578" max="13578" width="10.5703125" style="145" bestFit="1" customWidth="1"/>
    <col min="13579" max="13579" width="9.140625" style="145"/>
    <col min="13580" max="13580" width="12.140625" style="145" customWidth="1"/>
    <col min="13581" max="13822" width="9.140625" style="145"/>
    <col min="13823" max="13823" width="4" style="145" customWidth="1"/>
    <col min="13824" max="13824" width="10.5703125" style="145" customWidth="1"/>
    <col min="13825" max="13825" width="11.140625" style="145" customWidth="1"/>
    <col min="13826" max="13826" width="8.7109375" style="145" customWidth="1"/>
    <col min="13827" max="13827" width="8" style="145" customWidth="1"/>
    <col min="13828" max="13828" width="10.28515625" style="145" customWidth="1"/>
    <col min="13829" max="13829" width="7.140625" style="145" customWidth="1"/>
    <col min="13830" max="13830" width="6.85546875" style="145" customWidth="1"/>
    <col min="13831" max="13831" width="11.7109375" style="145" customWidth="1"/>
    <col min="13832" max="13832" width="11.5703125" style="145" customWidth="1"/>
    <col min="13833" max="13833" width="9.140625" style="145"/>
    <col min="13834" max="13834" width="10.5703125" style="145" bestFit="1" customWidth="1"/>
    <col min="13835" max="13835" width="9.140625" style="145"/>
    <col min="13836" max="13836" width="12.140625" style="145" customWidth="1"/>
    <col min="13837" max="14078" width="9.140625" style="145"/>
    <col min="14079" max="14079" width="4" style="145" customWidth="1"/>
    <col min="14080" max="14080" width="10.5703125" style="145" customWidth="1"/>
    <col min="14081" max="14081" width="11.140625" style="145" customWidth="1"/>
    <col min="14082" max="14082" width="8.7109375" style="145" customWidth="1"/>
    <col min="14083" max="14083" width="8" style="145" customWidth="1"/>
    <col min="14084" max="14084" width="10.28515625" style="145" customWidth="1"/>
    <col min="14085" max="14085" width="7.140625" style="145" customWidth="1"/>
    <col min="14086" max="14086" width="6.85546875" style="145" customWidth="1"/>
    <col min="14087" max="14087" width="11.7109375" style="145" customWidth="1"/>
    <col min="14088" max="14088" width="11.5703125" style="145" customWidth="1"/>
    <col min="14089" max="14089" width="9.140625" style="145"/>
    <col min="14090" max="14090" width="10.5703125" style="145" bestFit="1" customWidth="1"/>
    <col min="14091" max="14091" width="9.140625" style="145"/>
    <col min="14092" max="14092" width="12.140625" style="145" customWidth="1"/>
    <col min="14093" max="14334" width="9.140625" style="145"/>
    <col min="14335" max="14335" width="4" style="145" customWidth="1"/>
    <col min="14336" max="14336" width="10.5703125" style="145" customWidth="1"/>
    <col min="14337" max="14337" width="11.140625" style="145" customWidth="1"/>
    <col min="14338" max="14338" width="8.7109375" style="145" customWidth="1"/>
    <col min="14339" max="14339" width="8" style="145" customWidth="1"/>
    <col min="14340" max="14340" width="10.28515625" style="145" customWidth="1"/>
    <col min="14341" max="14341" width="7.140625" style="145" customWidth="1"/>
    <col min="14342" max="14342" width="6.85546875" style="145" customWidth="1"/>
    <col min="14343" max="14343" width="11.7109375" style="145" customWidth="1"/>
    <col min="14344" max="14344" width="11.5703125" style="145" customWidth="1"/>
    <col min="14345" max="14345" width="9.140625" style="145"/>
    <col min="14346" max="14346" width="10.5703125" style="145" bestFit="1" customWidth="1"/>
    <col min="14347" max="14347" width="9.140625" style="145"/>
    <col min="14348" max="14348" width="12.140625" style="145" customWidth="1"/>
    <col min="14349" max="14590" width="9.140625" style="145"/>
    <col min="14591" max="14591" width="4" style="145" customWidth="1"/>
    <col min="14592" max="14592" width="10.5703125" style="145" customWidth="1"/>
    <col min="14593" max="14593" width="11.140625" style="145" customWidth="1"/>
    <col min="14594" max="14594" width="8.7109375" style="145" customWidth="1"/>
    <col min="14595" max="14595" width="8" style="145" customWidth="1"/>
    <col min="14596" max="14596" width="10.28515625" style="145" customWidth="1"/>
    <col min="14597" max="14597" width="7.140625" style="145" customWidth="1"/>
    <col min="14598" max="14598" width="6.85546875" style="145" customWidth="1"/>
    <col min="14599" max="14599" width="11.7109375" style="145" customWidth="1"/>
    <col min="14600" max="14600" width="11.5703125" style="145" customWidth="1"/>
    <col min="14601" max="14601" width="9.140625" style="145"/>
    <col min="14602" max="14602" width="10.5703125" style="145" bestFit="1" customWidth="1"/>
    <col min="14603" max="14603" width="9.140625" style="145"/>
    <col min="14604" max="14604" width="12.140625" style="145" customWidth="1"/>
    <col min="14605" max="14846" width="9.140625" style="145"/>
    <col min="14847" max="14847" width="4" style="145" customWidth="1"/>
    <col min="14848" max="14848" width="10.5703125" style="145" customWidth="1"/>
    <col min="14849" max="14849" width="11.140625" style="145" customWidth="1"/>
    <col min="14850" max="14850" width="8.7109375" style="145" customWidth="1"/>
    <col min="14851" max="14851" width="8" style="145" customWidth="1"/>
    <col min="14852" max="14852" width="10.28515625" style="145" customWidth="1"/>
    <col min="14853" max="14853" width="7.140625" style="145" customWidth="1"/>
    <col min="14854" max="14854" width="6.85546875" style="145" customWidth="1"/>
    <col min="14855" max="14855" width="11.7109375" style="145" customWidth="1"/>
    <col min="14856" max="14856" width="11.5703125" style="145" customWidth="1"/>
    <col min="14857" max="14857" width="9.140625" style="145"/>
    <col min="14858" max="14858" width="10.5703125" style="145" bestFit="1" customWidth="1"/>
    <col min="14859" max="14859" width="9.140625" style="145"/>
    <col min="14860" max="14860" width="12.140625" style="145" customWidth="1"/>
    <col min="14861" max="15102" width="9.140625" style="145"/>
    <col min="15103" max="15103" width="4" style="145" customWidth="1"/>
    <col min="15104" max="15104" width="10.5703125" style="145" customWidth="1"/>
    <col min="15105" max="15105" width="11.140625" style="145" customWidth="1"/>
    <col min="15106" max="15106" width="8.7109375" style="145" customWidth="1"/>
    <col min="15107" max="15107" width="8" style="145" customWidth="1"/>
    <col min="15108" max="15108" width="10.28515625" style="145" customWidth="1"/>
    <col min="15109" max="15109" width="7.140625" style="145" customWidth="1"/>
    <col min="15110" max="15110" width="6.85546875" style="145" customWidth="1"/>
    <col min="15111" max="15111" width="11.7109375" style="145" customWidth="1"/>
    <col min="15112" max="15112" width="11.5703125" style="145" customWidth="1"/>
    <col min="15113" max="15113" width="9.140625" style="145"/>
    <col min="15114" max="15114" width="10.5703125" style="145" bestFit="1" customWidth="1"/>
    <col min="15115" max="15115" width="9.140625" style="145"/>
    <col min="15116" max="15116" width="12.140625" style="145" customWidth="1"/>
    <col min="15117" max="15358" width="9.140625" style="145"/>
    <col min="15359" max="15359" width="4" style="145" customWidth="1"/>
    <col min="15360" max="15360" width="10.5703125" style="145" customWidth="1"/>
    <col min="15361" max="15361" width="11.140625" style="145" customWidth="1"/>
    <col min="15362" max="15362" width="8.7109375" style="145" customWidth="1"/>
    <col min="15363" max="15363" width="8" style="145" customWidth="1"/>
    <col min="15364" max="15364" width="10.28515625" style="145" customWidth="1"/>
    <col min="15365" max="15365" width="7.140625" style="145" customWidth="1"/>
    <col min="15366" max="15366" width="6.85546875" style="145" customWidth="1"/>
    <col min="15367" max="15367" width="11.7109375" style="145" customWidth="1"/>
    <col min="15368" max="15368" width="11.5703125" style="145" customWidth="1"/>
    <col min="15369" max="15369" width="9.140625" style="145"/>
    <col min="15370" max="15370" width="10.5703125" style="145" bestFit="1" customWidth="1"/>
    <col min="15371" max="15371" width="9.140625" style="145"/>
    <col min="15372" max="15372" width="12.140625" style="145" customWidth="1"/>
    <col min="15373" max="15614" width="9.140625" style="145"/>
    <col min="15615" max="15615" width="4" style="145" customWidth="1"/>
    <col min="15616" max="15616" width="10.5703125" style="145" customWidth="1"/>
    <col min="15617" max="15617" width="11.140625" style="145" customWidth="1"/>
    <col min="15618" max="15618" width="8.7109375" style="145" customWidth="1"/>
    <col min="15619" max="15619" width="8" style="145" customWidth="1"/>
    <col min="15620" max="15620" width="10.28515625" style="145" customWidth="1"/>
    <col min="15621" max="15621" width="7.140625" style="145" customWidth="1"/>
    <col min="15622" max="15622" width="6.85546875" style="145" customWidth="1"/>
    <col min="15623" max="15623" width="11.7109375" style="145" customWidth="1"/>
    <col min="15624" max="15624" width="11.5703125" style="145" customWidth="1"/>
    <col min="15625" max="15625" width="9.140625" style="145"/>
    <col min="15626" max="15626" width="10.5703125" style="145" bestFit="1" customWidth="1"/>
    <col min="15627" max="15627" width="9.140625" style="145"/>
    <col min="15628" max="15628" width="12.140625" style="145" customWidth="1"/>
    <col min="15629" max="15870" width="9.140625" style="145"/>
    <col min="15871" max="15871" width="4" style="145" customWidth="1"/>
    <col min="15872" max="15872" width="10.5703125" style="145" customWidth="1"/>
    <col min="15873" max="15873" width="11.140625" style="145" customWidth="1"/>
    <col min="15874" max="15874" width="8.7109375" style="145" customWidth="1"/>
    <col min="15875" max="15875" width="8" style="145" customWidth="1"/>
    <col min="15876" max="15876" width="10.28515625" style="145" customWidth="1"/>
    <col min="15877" max="15877" width="7.140625" style="145" customWidth="1"/>
    <col min="15878" max="15878" width="6.85546875" style="145" customWidth="1"/>
    <col min="15879" max="15879" width="11.7109375" style="145" customWidth="1"/>
    <col min="15880" max="15880" width="11.5703125" style="145" customWidth="1"/>
    <col min="15881" max="15881" width="9.140625" style="145"/>
    <col min="15882" max="15882" width="10.5703125" style="145" bestFit="1" customWidth="1"/>
    <col min="15883" max="15883" width="9.140625" style="145"/>
    <col min="15884" max="15884" width="12.140625" style="145" customWidth="1"/>
    <col min="15885" max="16126" width="9.140625" style="145"/>
    <col min="16127" max="16127" width="4" style="145" customWidth="1"/>
    <col min="16128" max="16128" width="10.5703125" style="145" customWidth="1"/>
    <col min="16129" max="16129" width="11.140625" style="145" customWidth="1"/>
    <col min="16130" max="16130" width="8.7109375" style="145" customWidth="1"/>
    <col min="16131" max="16131" width="8" style="145" customWidth="1"/>
    <col min="16132" max="16132" width="10.28515625" style="145" customWidth="1"/>
    <col min="16133" max="16133" width="7.140625" style="145" customWidth="1"/>
    <col min="16134" max="16134" width="6.85546875" style="145" customWidth="1"/>
    <col min="16135" max="16135" width="11.7109375" style="145" customWidth="1"/>
    <col min="16136" max="16136" width="11.5703125" style="145" customWidth="1"/>
    <col min="16137" max="16137" width="9.140625" style="145"/>
    <col min="16138" max="16138" width="10.5703125" style="145" bestFit="1" customWidth="1"/>
    <col min="16139" max="16139" width="9.140625" style="145"/>
    <col min="16140" max="16140" width="12.140625" style="145" customWidth="1"/>
    <col min="16141" max="16384" width="9.140625" style="145"/>
  </cols>
  <sheetData>
    <row r="1" spans="1:13" ht="30" customHeight="1" x14ac:dyDescent="0.25">
      <c r="A1" s="1142" t="s">
        <v>140</v>
      </c>
      <c r="B1" s="1142"/>
      <c r="C1" s="1142"/>
      <c r="D1" s="1142"/>
      <c r="E1" s="1142"/>
      <c r="F1" s="1142"/>
      <c r="G1" s="1142"/>
      <c r="H1" s="1142"/>
      <c r="I1" s="155"/>
    </row>
    <row r="3" spans="1:13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201"/>
    </row>
    <row r="4" spans="1:13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202"/>
    </row>
    <row r="6" spans="1:13" x14ac:dyDescent="0.25">
      <c r="A6" s="1155" t="s">
        <v>488</v>
      </c>
      <c r="B6" s="1155"/>
      <c r="C6" s="1155"/>
      <c r="D6" s="1155"/>
      <c r="E6" s="1155"/>
      <c r="F6" s="1155"/>
      <c r="G6" s="1155"/>
      <c r="H6" s="1155"/>
      <c r="I6" s="177"/>
    </row>
    <row r="7" spans="1:13" ht="24" x14ac:dyDescent="0.25">
      <c r="A7" s="195" t="s">
        <v>258</v>
      </c>
      <c r="B7" s="733" t="s">
        <v>492</v>
      </c>
      <c r="C7" s="161" t="s">
        <v>343</v>
      </c>
      <c r="D7" s="162" t="s">
        <v>389</v>
      </c>
      <c r="E7" s="195" t="s">
        <v>445</v>
      </c>
      <c r="F7" s="733" t="s">
        <v>823</v>
      </c>
      <c r="G7" s="733" t="s">
        <v>467</v>
      </c>
      <c r="H7" s="195" t="s">
        <v>402</v>
      </c>
    </row>
    <row r="8" spans="1:13" x14ac:dyDescent="0.25">
      <c r="A8" s="194">
        <v>1</v>
      </c>
      <c r="B8" s="732">
        <v>2</v>
      </c>
      <c r="C8" s="194">
        <v>3</v>
      </c>
      <c r="D8" s="194">
        <v>4</v>
      </c>
      <c r="E8" s="194">
        <v>5</v>
      </c>
      <c r="F8" s="732">
        <v>6</v>
      </c>
      <c r="G8" s="732">
        <v>7</v>
      </c>
      <c r="H8" s="196">
        <v>8</v>
      </c>
    </row>
    <row r="9" spans="1:13" ht="63.75" customHeight="1" x14ac:dyDescent="0.25">
      <c r="A9" s="196">
        <v>1</v>
      </c>
      <c r="B9" s="734" t="s">
        <v>730</v>
      </c>
      <c r="C9" s="195">
        <v>251</v>
      </c>
      <c r="D9" s="193"/>
      <c r="E9" s="195">
        <v>4</v>
      </c>
      <c r="F9" s="232">
        <v>120850</v>
      </c>
      <c r="G9" s="232">
        <f>E9*F9</f>
        <v>483400</v>
      </c>
      <c r="H9" s="222">
        <f>ROUND(G9/1000,1)</f>
        <v>483.4</v>
      </c>
      <c r="I9" s="179"/>
      <c r="K9" s="180"/>
    </row>
    <row r="10" spans="1:13" x14ac:dyDescent="0.25">
      <c r="A10" s="1146" t="s">
        <v>404</v>
      </c>
      <c r="B10" s="1147"/>
      <c r="C10" s="1147"/>
      <c r="D10" s="1147"/>
      <c r="E10" s="1147"/>
      <c r="F10" s="1147"/>
      <c r="G10" s="814">
        <f>G9</f>
        <v>483400</v>
      </c>
      <c r="H10" s="276">
        <f>SUM(H9:H9)</f>
        <v>483.4</v>
      </c>
      <c r="K10" s="181"/>
    </row>
    <row r="11" spans="1:13" x14ac:dyDescent="0.25">
      <c r="K11" s="181"/>
    </row>
    <row r="12" spans="1:13" x14ac:dyDescent="0.25">
      <c r="K12" s="146"/>
      <c r="L12" s="146"/>
      <c r="M12" s="183"/>
    </row>
    <row r="13" spans="1:13" x14ac:dyDescent="0.25">
      <c r="A13" s="1150" t="s">
        <v>397</v>
      </c>
      <c r="B13" s="1150"/>
      <c r="C13" s="168"/>
      <c r="D13" s="1151"/>
      <c r="E13" s="1151"/>
      <c r="F13" s="168"/>
      <c r="G13" s="1151" t="str">
        <f>рВДЛ!G32</f>
        <v>М.В. Златова</v>
      </c>
      <c r="H13" s="1151"/>
      <c r="K13" s="146"/>
      <c r="L13" s="146"/>
      <c r="M13" s="146"/>
    </row>
    <row r="14" spans="1:13" x14ac:dyDescent="0.25">
      <c r="A14" s="1148" t="s">
        <v>329</v>
      </c>
      <c r="B14" s="1148"/>
      <c r="C14" s="169"/>
      <c r="D14" s="1148" t="s">
        <v>330</v>
      </c>
      <c r="E14" s="1148"/>
      <c r="F14" s="169"/>
      <c r="G14" s="1149" t="s">
        <v>331</v>
      </c>
      <c r="H14" s="1149"/>
    </row>
    <row r="15" spans="1:13" x14ac:dyDescent="0.25">
      <c r="A15" s="1150" t="str">
        <f>рВДЛ!A34</f>
        <v>Исполнитель: финансист</v>
      </c>
      <c r="B15" s="1150"/>
      <c r="C15" s="168"/>
      <c r="D15" s="1151"/>
      <c r="E15" s="1151"/>
      <c r="F15" s="168"/>
      <c r="G15" s="1151" t="str">
        <f>рВДЛ!G34</f>
        <v>Е.Н. Рыбалка</v>
      </c>
      <c r="H15" s="1151"/>
    </row>
    <row r="16" spans="1:13" x14ac:dyDescent="0.25">
      <c r="A16" s="1148" t="s">
        <v>329</v>
      </c>
      <c r="B16" s="1148"/>
      <c r="C16" s="169"/>
      <c r="D16" s="1148" t="s">
        <v>330</v>
      </c>
      <c r="E16" s="1148"/>
      <c r="F16" s="169"/>
      <c r="G16" s="1149" t="s">
        <v>331</v>
      </c>
      <c r="H16" s="1149"/>
    </row>
  </sheetData>
  <mergeCells count="17">
    <mergeCell ref="A15:B15"/>
    <mergeCell ref="D15:E15"/>
    <mergeCell ref="G15:H15"/>
    <mergeCell ref="A16:B16"/>
    <mergeCell ref="D16:E16"/>
    <mergeCell ref="G16:H16"/>
    <mergeCell ref="A13:B13"/>
    <mergeCell ref="D13:E13"/>
    <mergeCell ref="G13:H13"/>
    <mergeCell ref="A14:B14"/>
    <mergeCell ref="D14:E14"/>
    <mergeCell ref="G14:H14"/>
    <mergeCell ref="A10:F10"/>
    <mergeCell ref="A1:H1"/>
    <mergeCell ref="A3:H3"/>
    <mergeCell ref="A4:H4"/>
    <mergeCell ref="A6:H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workbookViewId="0">
      <selection activeCell="A47" sqref="A47:H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0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0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0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0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0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3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142" t="s">
        <v>702</v>
      </c>
      <c r="B12" s="1142"/>
      <c r="C12" s="1142"/>
      <c r="D12" s="1142"/>
      <c r="E12" s="1142"/>
      <c r="F12" s="1142"/>
      <c r="G12" s="1142"/>
      <c r="H12" s="1142"/>
      <c r="I12" s="841"/>
    </row>
    <row r="13" spans="1:9" s="179" customFormat="1" ht="6" customHeight="1" x14ac:dyDescent="0.2">
      <c r="E13" s="842"/>
      <c r="F13" s="842"/>
      <c r="G13" s="842"/>
      <c r="H13" s="842"/>
      <c r="I13" s="841"/>
    </row>
    <row r="14" spans="1:9" s="179" customFormat="1" ht="12.75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841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94"/>
    </row>
    <row r="16" spans="1:9" x14ac:dyDescent="0.25">
      <c r="A16" s="564" t="s">
        <v>640</v>
      </c>
      <c r="B16" s="581" t="s">
        <v>106</v>
      </c>
      <c r="C16" s="581" t="s">
        <v>701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0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  <c r="I34" s="84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5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3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  <c r="I46" s="841"/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 t="s">
        <v>106</v>
      </c>
      <c r="C52" s="857" t="s">
        <v>701</v>
      </c>
      <c r="D52" s="857" t="s">
        <v>706</v>
      </c>
      <c r="E52" s="857" t="s">
        <v>705</v>
      </c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 t="s">
        <v>106</v>
      </c>
      <c r="C58" s="848" t="s">
        <v>701</v>
      </c>
      <c r="D58" s="848" t="s">
        <v>706</v>
      </c>
      <c r="E58" s="848" t="s">
        <v>705</v>
      </c>
      <c r="F58" s="562">
        <v>297</v>
      </c>
      <c r="G58" s="562"/>
      <c r="H58" s="850">
        <f>рВыборы!J10</f>
        <v>0</v>
      </c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106</v>
      </c>
      <c r="C65" s="848" t="s">
        <v>701</v>
      </c>
      <c r="D65" s="848" t="s">
        <v>706</v>
      </c>
      <c r="E65" s="848" t="s">
        <v>139</v>
      </c>
      <c r="F65" s="563"/>
      <c r="G65" s="563"/>
      <c r="H65" s="850">
        <f>H58</f>
        <v>0</v>
      </c>
    </row>
    <row r="66" spans="1:9" x14ac:dyDescent="0.25">
      <c r="A66" s="571" t="s">
        <v>377</v>
      </c>
      <c r="B66" s="848" t="s">
        <v>106</v>
      </c>
      <c r="C66" s="848" t="s">
        <v>701</v>
      </c>
      <c r="D66" s="848" t="s">
        <v>485</v>
      </c>
      <c r="E66" s="848" t="s">
        <v>345</v>
      </c>
      <c r="F66" s="570"/>
      <c r="G66" s="570"/>
      <c r="H66" s="850">
        <f>H59+H16</f>
        <v>0</v>
      </c>
      <c r="I66" s="638">
        <f>SUM(I16:I64)</f>
        <v>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  <row r="68" spans="1:9" x14ac:dyDescent="0.25">
      <c r="I68" s="841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6"/>
  <sheetViews>
    <sheetView workbookViewId="0">
      <selection activeCell="I10" sqref="I10"/>
    </sheetView>
  </sheetViews>
  <sheetFormatPr defaultRowHeight="15" x14ac:dyDescent="0.25"/>
  <cols>
    <col min="1" max="1" width="4" style="145" customWidth="1"/>
    <col min="2" max="2" width="10.5703125" style="145" customWidth="1"/>
    <col min="3" max="3" width="11.140625" style="145" customWidth="1"/>
    <col min="4" max="4" width="8.7109375" style="145" customWidth="1"/>
    <col min="5" max="5" width="8" style="145" customWidth="1"/>
    <col min="6" max="6" width="10.28515625" style="145" customWidth="1"/>
    <col min="7" max="8" width="6.5703125" style="145" customWidth="1"/>
    <col min="9" max="9" width="10.28515625" style="145" customWidth="1"/>
    <col min="10" max="10" width="11.7109375" style="145" customWidth="1"/>
    <col min="11" max="11" width="11.5703125" style="145" customWidth="1"/>
    <col min="12" max="12" width="9.140625" style="145"/>
    <col min="13" max="13" width="10.5703125" style="145" bestFit="1" customWidth="1"/>
    <col min="14" max="14" width="9.140625" style="145"/>
    <col min="15" max="15" width="12.140625" style="145" customWidth="1"/>
    <col min="16" max="257" width="9.140625" style="145"/>
    <col min="258" max="258" width="4" style="145" customWidth="1"/>
    <col min="259" max="259" width="10.5703125" style="145" customWidth="1"/>
    <col min="260" max="260" width="11.140625" style="145" customWidth="1"/>
    <col min="261" max="261" width="8.7109375" style="145" customWidth="1"/>
    <col min="262" max="262" width="8" style="145" customWidth="1"/>
    <col min="263" max="263" width="10.28515625" style="145" customWidth="1"/>
    <col min="264" max="264" width="7.140625" style="145" customWidth="1"/>
    <col min="265" max="265" width="6.85546875" style="145" customWidth="1"/>
    <col min="266" max="266" width="11.7109375" style="145" customWidth="1"/>
    <col min="267" max="267" width="11.5703125" style="145" customWidth="1"/>
    <col min="268" max="268" width="9.140625" style="145"/>
    <col min="269" max="269" width="10.5703125" style="145" bestFit="1" customWidth="1"/>
    <col min="270" max="270" width="9.140625" style="145"/>
    <col min="271" max="271" width="12.140625" style="145" customWidth="1"/>
    <col min="272" max="513" width="9.140625" style="145"/>
    <col min="514" max="514" width="4" style="145" customWidth="1"/>
    <col min="515" max="515" width="10.5703125" style="145" customWidth="1"/>
    <col min="516" max="516" width="11.140625" style="145" customWidth="1"/>
    <col min="517" max="517" width="8.7109375" style="145" customWidth="1"/>
    <col min="518" max="518" width="8" style="145" customWidth="1"/>
    <col min="519" max="519" width="10.28515625" style="145" customWidth="1"/>
    <col min="520" max="520" width="7.140625" style="145" customWidth="1"/>
    <col min="521" max="521" width="6.85546875" style="145" customWidth="1"/>
    <col min="522" max="522" width="11.7109375" style="145" customWidth="1"/>
    <col min="523" max="523" width="11.5703125" style="145" customWidth="1"/>
    <col min="524" max="524" width="9.140625" style="145"/>
    <col min="525" max="525" width="10.5703125" style="145" bestFit="1" customWidth="1"/>
    <col min="526" max="526" width="9.140625" style="145"/>
    <col min="527" max="527" width="12.140625" style="145" customWidth="1"/>
    <col min="528" max="769" width="9.140625" style="145"/>
    <col min="770" max="770" width="4" style="145" customWidth="1"/>
    <col min="771" max="771" width="10.5703125" style="145" customWidth="1"/>
    <col min="772" max="772" width="11.140625" style="145" customWidth="1"/>
    <col min="773" max="773" width="8.7109375" style="145" customWidth="1"/>
    <col min="774" max="774" width="8" style="145" customWidth="1"/>
    <col min="775" max="775" width="10.28515625" style="145" customWidth="1"/>
    <col min="776" max="776" width="7.140625" style="145" customWidth="1"/>
    <col min="777" max="777" width="6.85546875" style="145" customWidth="1"/>
    <col min="778" max="778" width="11.7109375" style="145" customWidth="1"/>
    <col min="779" max="779" width="11.5703125" style="145" customWidth="1"/>
    <col min="780" max="780" width="9.140625" style="145"/>
    <col min="781" max="781" width="10.5703125" style="145" bestFit="1" customWidth="1"/>
    <col min="782" max="782" width="9.140625" style="145"/>
    <col min="783" max="783" width="12.140625" style="145" customWidth="1"/>
    <col min="784" max="1025" width="9.140625" style="145"/>
    <col min="1026" max="1026" width="4" style="145" customWidth="1"/>
    <col min="1027" max="1027" width="10.5703125" style="145" customWidth="1"/>
    <col min="1028" max="1028" width="11.140625" style="145" customWidth="1"/>
    <col min="1029" max="1029" width="8.7109375" style="145" customWidth="1"/>
    <col min="1030" max="1030" width="8" style="145" customWidth="1"/>
    <col min="1031" max="1031" width="10.28515625" style="145" customWidth="1"/>
    <col min="1032" max="1032" width="7.140625" style="145" customWidth="1"/>
    <col min="1033" max="1033" width="6.85546875" style="145" customWidth="1"/>
    <col min="1034" max="1034" width="11.7109375" style="145" customWidth="1"/>
    <col min="1035" max="1035" width="11.5703125" style="145" customWidth="1"/>
    <col min="1036" max="1036" width="9.140625" style="145"/>
    <col min="1037" max="1037" width="10.5703125" style="145" bestFit="1" customWidth="1"/>
    <col min="1038" max="1038" width="9.140625" style="145"/>
    <col min="1039" max="1039" width="12.140625" style="145" customWidth="1"/>
    <col min="1040" max="1281" width="9.140625" style="145"/>
    <col min="1282" max="1282" width="4" style="145" customWidth="1"/>
    <col min="1283" max="1283" width="10.5703125" style="145" customWidth="1"/>
    <col min="1284" max="1284" width="11.140625" style="145" customWidth="1"/>
    <col min="1285" max="1285" width="8.7109375" style="145" customWidth="1"/>
    <col min="1286" max="1286" width="8" style="145" customWidth="1"/>
    <col min="1287" max="1287" width="10.28515625" style="145" customWidth="1"/>
    <col min="1288" max="1288" width="7.140625" style="145" customWidth="1"/>
    <col min="1289" max="1289" width="6.85546875" style="145" customWidth="1"/>
    <col min="1290" max="1290" width="11.7109375" style="145" customWidth="1"/>
    <col min="1291" max="1291" width="11.5703125" style="145" customWidth="1"/>
    <col min="1292" max="1292" width="9.140625" style="145"/>
    <col min="1293" max="1293" width="10.5703125" style="145" bestFit="1" customWidth="1"/>
    <col min="1294" max="1294" width="9.140625" style="145"/>
    <col min="1295" max="1295" width="12.140625" style="145" customWidth="1"/>
    <col min="1296" max="1537" width="9.140625" style="145"/>
    <col min="1538" max="1538" width="4" style="145" customWidth="1"/>
    <col min="1539" max="1539" width="10.5703125" style="145" customWidth="1"/>
    <col min="1540" max="1540" width="11.140625" style="145" customWidth="1"/>
    <col min="1541" max="1541" width="8.7109375" style="145" customWidth="1"/>
    <col min="1542" max="1542" width="8" style="145" customWidth="1"/>
    <col min="1543" max="1543" width="10.28515625" style="145" customWidth="1"/>
    <col min="1544" max="1544" width="7.140625" style="145" customWidth="1"/>
    <col min="1545" max="1545" width="6.85546875" style="145" customWidth="1"/>
    <col min="1546" max="1546" width="11.7109375" style="145" customWidth="1"/>
    <col min="1547" max="1547" width="11.5703125" style="145" customWidth="1"/>
    <col min="1548" max="1548" width="9.140625" style="145"/>
    <col min="1549" max="1549" width="10.5703125" style="145" bestFit="1" customWidth="1"/>
    <col min="1550" max="1550" width="9.140625" style="145"/>
    <col min="1551" max="1551" width="12.140625" style="145" customWidth="1"/>
    <col min="1552" max="1793" width="9.140625" style="145"/>
    <col min="1794" max="1794" width="4" style="145" customWidth="1"/>
    <col min="1795" max="1795" width="10.5703125" style="145" customWidth="1"/>
    <col min="1796" max="1796" width="11.140625" style="145" customWidth="1"/>
    <col min="1797" max="1797" width="8.7109375" style="145" customWidth="1"/>
    <col min="1798" max="1798" width="8" style="145" customWidth="1"/>
    <col min="1799" max="1799" width="10.28515625" style="145" customWidth="1"/>
    <col min="1800" max="1800" width="7.140625" style="145" customWidth="1"/>
    <col min="1801" max="1801" width="6.85546875" style="145" customWidth="1"/>
    <col min="1802" max="1802" width="11.7109375" style="145" customWidth="1"/>
    <col min="1803" max="1803" width="11.5703125" style="145" customWidth="1"/>
    <col min="1804" max="1804" width="9.140625" style="145"/>
    <col min="1805" max="1805" width="10.5703125" style="145" bestFit="1" customWidth="1"/>
    <col min="1806" max="1806" width="9.140625" style="145"/>
    <col min="1807" max="1807" width="12.140625" style="145" customWidth="1"/>
    <col min="1808" max="2049" width="9.140625" style="145"/>
    <col min="2050" max="2050" width="4" style="145" customWidth="1"/>
    <col min="2051" max="2051" width="10.5703125" style="145" customWidth="1"/>
    <col min="2052" max="2052" width="11.140625" style="145" customWidth="1"/>
    <col min="2053" max="2053" width="8.7109375" style="145" customWidth="1"/>
    <col min="2054" max="2054" width="8" style="145" customWidth="1"/>
    <col min="2055" max="2055" width="10.28515625" style="145" customWidth="1"/>
    <col min="2056" max="2056" width="7.140625" style="145" customWidth="1"/>
    <col min="2057" max="2057" width="6.85546875" style="145" customWidth="1"/>
    <col min="2058" max="2058" width="11.7109375" style="145" customWidth="1"/>
    <col min="2059" max="2059" width="11.5703125" style="145" customWidth="1"/>
    <col min="2060" max="2060" width="9.140625" style="145"/>
    <col min="2061" max="2061" width="10.5703125" style="145" bestFit="1" customWidth="1"/>
    <col min="2062" max="2062" width="9.140625" style="145"/>
    <col min="2063" max="2063" width="12.140625" style="145" customWidth="1"/>
    <col min="2064" max="2305" width="9.140625" style="145"/>
    <col min="2306" max="2306" width="4" style="145" customWidth="1"/>
    <col min="2307" max="2307" width="10.5703125" style="145" customWidth="1"/>
    <col min="2308" max="2308" width="11.140625" style="145" customWidth="1"/>
    <col min="2309" max="2309" width="8.7109375" style="145" customWidth="1"/>
    <col min="2310" max="2310" width="8" style="145" customWidth="1"/>
    <col min="2311" max="2311" width="10.28515625" style="145" customWidth="1"/>
    <col min="2312" max="2312" width="7.140625" style="145" customWidth="1"/>
    <col min="2313" max="2313" width="6.85546875" style="145" customWidth="1"/>
    <col min="2314" max="2314" width="11.7109375" style="145" customWidth="1"/>
    <col min="2315" max="2315" width="11.5703125" style="145" customWidth="1"/>
    <col min="2316" max="2316" width="9.140625" style="145"/>
    <col min="2317" max="2317" width="10.5703125" style="145" bestFit="1" customWidth="1"/>
    <col min="2318" max="2318" width="9.140625" style="145"/>
    <col min="2319" max="2319" width="12.140625" style="145" customWidth="1"/>
    <col min="2320" max="2561" width="9.140625" style="145"/>
    <col min="2562" max="2562" width="4" style="145" customWidth="1"/>
    <col min="2563" max="2563" width="10.5703125" style="145" customWidth="1"/>
    <col min="2564" max="2564" width="11.140625" style="145" customWidth="1"/>
    <col min="2565" max="2565" width="8.7109375" style="145" customWidth="1"/>
    <col min="2566" max="2566" width="8" style="145" customWidth="1"/>
    <col min="2567" max="2567" width="10.28515625" style="145" customWidth="1"/>
    <col min="2568" max="2568" width="7.140625" style="145" customWidth="1"/>
    <col min="2569" max="2569" width="6.85546875" style="145" customWidth="1"/>
    <col min="2570" max="2570" width="11.7109375" style="145" customWidth="1"/>
    <col min="2571" max="2571" width="11.5703125" style="145" customWidth="1"/>
    <col min="2572" max="2572" width="9.140625" style="145"/>
    <col min="2573" max="2573" width="10.5703125" style="145" bestFit="1" customWidth="1"/>
    <col min="2574" max="2574" width="9.140625" style="145"/>
    <col min="2575" max="2575" width="12.140625" style="145" customWidth="1"/>
    <col min="2576" max="2817" width="9.140625" style="145"/>
    <col min="2818" max="2818" width="4" style="145" customWidth="1"/>
    <col min="2819" max="2819" width="10.5703125" style="145" customWidth="1"/>
    <col min="2820" max="2820" width="11.140625" style="145" customWidth="1"/>
    <col min="2821" max="2821" width="8.7109375" style="145" customWidth="1"/>
    <col min="2822" max="2822" width="8" style="145" customWidth="1"/>
    <col min="2823" max="2823" width="10.28515625" style="145" customWidth="1"/>
    <col min="2824" max="2824" width="7.140625" style="145" customWidth="1"/>
    <col min="2825" max="2825" width="6.85546875" style="145" customWidth="1"/>
    <col min="2826" max="2826" width="11.7109375" style="145" customWidth="1"/>
    <col min="2827" max="2827" width="11.5703125" style="145" customWidth="1"/>
    <col min="2828" max="2828" width="9.140625" style="145"/>
    <col min="2829" max="2829" width="10.5703125" style="145" bestFit="1" customWidth="1"/>
    <col min="2830" max="2830" width="9.140625" style="145"/>
    <col min="2831" max="2831" width="12.140625" style="145" customWidth="1"/>
    <col min="2832" max="3073" width="9.140625" style="145"/>
    <col min="3074" max="3074" width="4" style="145" customWidth="1"/>
    <col min="3075" max="3075" width="10.5703125" style="145" customWidth="1"/>
    <col min="3076" max="3076" width="11.140625" style="145" customWidth="1"/>
    <col min="3077" max="3077" width="8.7109375" style="145" customWidth="1"/>
    <col min="3078" max="3078" width="8" style="145" customWidth="1"/>
    <col min="3079" max="3079" width="10.28515625" style="145" customWidth="1"/>
    <col min="3080" max="3080" width="7.140625" style="145" customWidth="1"/>
    <col min="3081" max="3081" width="6.85546875" style="145" customWidth="1"/>
    <col min="3082" max="3082" width="11.7109375" style="145" customWidth="1"/>
    <col min="3083" max="3083" width="11.5703125" style="145" customWidth="1"/>
    <col min="3084" max="3084" width="9.140625" style="145"/>
    <col min="3085" max="3085" width="10.5703125" style="145" bestFit="1" customWidth="1"/>
    <col min="3086" max="3086" width="9.140625" style="145"/>
    <col min="3087" max="3087" width="12.140625" style="145" customWidth="1"/>
    <col min="3088" max="3329" width="9.140625" style="145"/>
    <col min="3330" max="3330" width="4" style="145" customWidth="1"/>
    <col min="3331" max="3331" width="10.5703125" style="145" customWidth="1"/>
    <col min="3332" max="3332" width="11.140625" style="145" customWidth="1"/>
    <col min="3333" max="3333" width="8.7109375" style="145" customWidth="1"/>
    <col min="3334" max="3334" width="8" style="145" customWidth="1"/>
    <col min="3335" max="3335" width="10.28515625" style="145" customWidth="1"/>
    <col min="3336" max="3336" width="7.140625" style="145" customWidth="1"/>
    <col min="3337" max="3337" width="6.85546875" style="145" customWidth="1"/>
    <col min="3338" max="3338" width="11.7109375" style="145" customWidth="1"/>
    <col min="3339" max="3339" width="11.5703125" style="145" customWidth="1"/>
    <col min="3340" max="3340" width="9.140625" style="145"/>
    <col min="3341" max="3341" width="10.5703125" style="145" bestFit="1" customWidth="1"/>
    <col min="3342" max="3342" width="9.140625" style="145"/>
    <col min="3343" max="3343" width="12.140625" style="145" customWidth="1"/>
    <col min="3344" max="3585" width="9.140625" style="145"/>
    <col min="3586" max="3586" width="4" style="145" customWidth="1"/>
    <col min="3587" max="3587" width="10.5703125" style="145" customWidth="1"/>
    <col min="3588" max="3588" width="11.140625" style="145" customWidth="1"/>
    <col min="3589" max="3589" width="8.7109375" style="145" customWidth="1"/>
    <col min="3590" max="3590" width="8" style="145" customWidth="1"/>
    <col min="3591" max="3591" width="10.28515625" style="145" customWidth="1"/>
    <col min="3592" max="3592" width="7.140625" style="145" customWidth="1"/>
    <col min="3593" max="3593" width="6.85546875" style="145" customWidth="1"/>
    <col min="3594" max="3594" width="11.7109375" style="145" customWidth="1"/>
    <col min="3595" max="3595" width="11.5703125" style="145" customWidth="1"/>
    <col min="3596" max="3596" width="9.140625" style="145"/>
    <col min="3597" max="3597" width="10.5703125" style="145" bestFit="1" customWidth="1"/>
    <col min="3598" max="3598" width="9.140625" style="145"/>
    <col min="3599" max="3599" width="12.140625" style="145" customWidth="1"/>
    <col min="3600" max="3841" width="9.140625" style="145"/>
    <col min="3842" max="3842" width="4" style="145" customWidth="1"/>
    <col min="3843" max="3843" width="10.5703125" style="145" customWidth="1"/>
    <col min="3844" max="3844" width="11.140625" style="145" customWidth="1"/>
    <col min="3845" max="3845" width="8.7109375" style="145" customWidth="1"/>
    <col min="3846" max="3846" width="8" style="145" customWidth="1"/>
    <col min="3847" max="3847" width="10.28515625" style="145" customWidth="1"/>
    <col min="3848" max="3848" width="7.140625" style="145" customWidth="1"/>
    <col min="3849" max="3849" width="6.85546875" style="145" customWidth="1"/>
    <col min="3850" max="3850" width="11.7109375" style="145" customWidth="1"/>
    <col min="3851" max="3851" width="11.5703125" style="145" customWidth="1"/>
    <col min="3852" max="3852" width="9.140625" style="145"/>
    <col min="3853" max="3853" width="10.5703125" style="145" bestFit="1" customWidth="1"/>
    <col min="3854" max="3854" width="9.140625" style="145"/>
    <col min="3855" max="3855" width="12.140625" style="145" customWidth="1"/>
    <col min="3856" max="4097" width="9.140625" style="145"/>
    <col min="4098" max="4098" width="4" style="145" customWidth="1"/>
    <col min="4099" max="4099" width="10.5703125" style="145" customWidth="1"/>
    <col min="4100" max="4100" width="11.140625" style="145" customWidth="1"/>
    <col min="4101" max="4101" width="8.7109375" style="145" customWidth="1"/>
    <col min="4102" max="4102" width="8" style="145" customWidth="1"/>
    <col min="4103" max="4103" width="10.28515625" style="145" customWidth="1"/>
    <col min="4104" max="4104" width="7.140625" style="145" customWidth="1"/>
    <col min="4105" max="4105" width="6.85546875" style="145" customWidth="1"/>
    <col min="4106" max="4106" width="11.7109375" style="145" customWidth="1"/>
    <col min="4107" max="4107" width="11.5703125" style="145" customWidth="1"/>
    <col min="4108" max="4108" width="9.140625" style="145"/>
    <col min="4109" max="4109" width="10.5703125" style="145" bestFit="1" customWidth="1"/>
    <col min="4110" max="4110" width="9.140625" style="145"/>
    <col min="4111" max="4111" width="12.140625" style="145" customWidth="1"/>
    <col min="4112" max="4353" width="9.140625" style="145"/>
    <col min="4354" max="4354" width="4" style="145" customWidth="1"/>
    <col min="4355" max="4355" width="10.5703125" style="145" customWidth="1"/>
    <col min="4356" max="4356" width="11.140625" style="145" customWidth="1"/>
    <col min="4357" max="4357" width="8.7109375" style="145" customWidth="1"/>
    <col min="4358" max="4358" width="8" style="145" customWidth="1"/>
    <col min="4359" max="4359" width="10.28515625" style="145" customWidth="1"/>
    <col min="4360" max="4360" width="7.140625" style="145" customWidth="1"/>
    <col min="4361" max="4361" width="6.85546875" style="145" customWidth="1"/>
    <col min="4362" max="4362" width="11.7109375" style="145" customWidth="1"/>
    <col min="4363" max="4363" width="11.5703125" style="145" customWidth="1"/>
    <col min="4364" max="4364" width="9.140625" style="145"/>
    <col min="4365" max="4365" width="10.5703125" style="145" bestFit="1" customWidth="1"/>
    <col min="4366" max="4366" width="9.140625" style="145"/>
    <col min="4367" max="4367" width="12.140625" style="145" customWidth="1"/>
    <col min="4368" max="4609" width="9.140625" style="145"/>
    <col min="4610" max="4610" width="4" style="145" customWidth="1"/>
    <col min="4611" max="4611" width="10.5703125" style="145" customWidth="1"/>
    <col min="4612" max="4612" width="11.140625" style="145" customWidth="1"/>
    <col min="4613" max="4613" width="8.7109375" style="145" customWidth="1"/>
    <col min="4614" max="4614" width="8" style="145" customWidth="1"/>
    <col min="4615" max="4615" width="10.28515625" style="145" customWidth="1"/>
    <col min="4616" max="4616" width="7.140625" style="145" customWidth="1"/>
    <col min="4617" max="4617" width="6.85546875" style="145" customWidth="1"/>
    <col min="4618" max="4618" width="11.7109375" style="145" customWidth="1"/>
    <col min="4619" max="4619" width="11.5703125" style="145" customWidth="1"/>
    <col min="4620" max="4620" width="9.140625" style="145"/>
    <col min="4621" max="4621" width="10.5703125" style="145" bestFit="1" customWidth="1"/>
    <col min="4622" max="4622" width="9.140625" style="145"/>
    <col min="4623" max="4623" width="12.140625" style="145" customWidth="1"/>
    <col min="4624" max="4865" width="9.140625" style="145"/>
    <col min="4866" max="4866" width="4" style="145" customWidth="1"/>
    <col min="4867" max="4867" width="10.5703125" style="145" customWidth="1"/>
    <col min="4868" max="4868" width="11.140625" style="145" customWidth="1"/>
    <col min="4869" max="4869" width="8.7109375" style="145" customWidth="1"/>
    <col min="4870" max="4870" width="8" style="145" customWidth="1"/>
    <col min="4871" max="4871" width="10.28515625" style="145" customWidth="1"/>
    <col min="4872" max="4872" width="7.140625" style="145" customWidth="1"/>
    <col min="4873" max="4873" width="6.85546875" style="145" customWidth="1"/>
    <col min="4874" max="4874" width="11.7109375" style="145" customWidth="1"/>
    <col min="4875" max="4875" width="11.5703125" style="145" customWidth="1"/>
    <col min="4876" max="4876" width="9.140625" style="145"/>
    <col min="4877" max="4877" width="10.5703125" style="145" bestFit="1" customWidth="1"/>
    <col min="4878" max="4878" width="9.140625" style="145"/>
    <col min="4879" max="4879" width="12.140625" style="145" customWidth="1"/>
    <col min="4880" max="5121" width="9.140625" style="145"/>
    <col min="5122" max="5122" width="4" style="145" customWidth="1"/>
    <col min="5123" max="5123" width="10.5703125" style="145" customWidth="1"/>
    <col min="5124" max="5124" width="11.140625" style="145" customWidth="1"/>
    <col min="5125" max="5125" width="8.7109375" style="145" customWidth="1"/>
    <col min="5126" max="5126" width="8" style="145" customWidth="1"/>
    <col min="5127" max="5127" width="10.28515625" style="145" customWidth="1"/>
    <col min="5128" max="5128" width="7.140625" style="145" customWidth="1"/>
    <col min="5129" max="5129" width="6.85546875" style="145" customWidth="1"/>
    <col min="5130" max="5130" width="11.7109375" style="145" customWidth="1"/>
    <col min="5131" max="5131" width="11.5703125" style="145" customWidth="1"/>
    <col min="5132" max="5132" width="9.140625" style="145"/>
    <col min="5133" max="5133" width="10.5703125" style="145" bestFit="1" customWidth="1"/>
    <col min="5134" max="5134" width="9.140625" style="145"/>
    <col min="5135" max="5135" width="12.140625" style="145" customWidth="1"/>
    <col min="5136" max="5377" width="9.140625" style="145"/>
    <col min="5378" max="5378" width="4" style="145" customWidth="1"/>
    <col min="5379" max="5379" width="10.5703125" style="145" customWidth="1"/>
    <col min="5380" max="5380" width="11.140625" style="145" customWidth="1"/>
    <col min="5381" max="5381" width="8.7109375" style="145" customWidth="1"/>
    <col min="5382" max="5382" width="8" style="145" customWidth="1"/>
    <col min="5383" max="5383" width="10.28515625" style="145" customWidth="1"/>
    <col min="5384" max="5384" width="7.140625" style="145" customWidth="1"/>
    <col min="5385" max="5385" width="6.85546875" style="145" customWidth="1"/>
    <col min="5386" max="5386" width="11.7109375" style="145" customWidth="1"/>
    <col min="5387" max="5387" width="11.5703125" style="145" customWidth="1"/>
    <col min="5388" max="5388" width="9.140625" style="145"/>
    <col min="5389" max="5389" width="10.5703125" style="145" bestFit="1" customWidth="1"/>
    <col min="5390" max="5390" width="9.140625" style="145"/>
    <col min="5391" max="5391" width="12.140625" style="145" customWidth="1"/>
    <col min="5392" max="5633" width="9.140625" style="145"/>
    <col min="5634" max="5634" width="4" style="145" customWidth="1"/>
    <col min="5635" max="5635" width="10.5703125" style="145" customWidth="1"/>
    <col min="5636" max="5636" width="11.140625" style="145" customWidth="1"/>
    <col min="5637" max="5637" width="8.7109375" style="145" customWidth="1"/>
    <col min="5638" max="5638" width="8" style="145" customWidth="1"/>
    <col min="5639" max="5639" width="10.28515625" style="145" customWidth="1"/>
    <col min="5640" max="5640" width="7.140625" style="145" customWidth="1"/>
    <col min="5641" max="5641" width="6.85546875" style="145" customWidth="1"/>
    <col min="5642" max="5642" width="11.7109375" style="145" customWidth="1"/>
    <col min="5643" max="5643" width="11.5703125" style="145" customWidth="1"/>
    <col min="5644" max="5644" width="9.140625" style="145"/>
    <col min="5645" max="5645" width="10.5703125" style="145" bestFit="1" customWidth="1"/>
    <col min="5646" max="5646" width="9.140625" style="145"/>
    <col min="5647" max="5647" width="12.140625" style="145" customWidth="1"/>
    <col min="5648" max="5889" width="9.140625" style="145"/>
    <col min="5890" max="5890" width="4" style="145" customWidth="1"/>
    <col min="5891" max="5891" width="10.5703125" style="145" customWidth="1"/>
    <col min="5892" max="5892" width="11.140625" style="145" customWidth="1"/>
    <col min="5893" max="5893" width="8.7109375" style="145" customWidth="1"/>
    <col min="5894" max="5894" width="8" style="145" customWidth="1"/>
    <col min="5895" max="5895" width="10.28515625" style="145" customWidth="1"/>
    <col min="5896" max="5896" width="7.140625" style="145" customWidth="1"/>
    <col min="5897" max="5897" width="6.85546875" style="145" customWidth="1"/>
    <col min="5898" max="5898" width="11.7109375" style="145" customWidth="1"/>
    <col min="5899" max="5899" width="11.5703125" style="145" customWidth="1"/>
    <col min="5900" max="5900" width="9.140625" style="145"/>
    <col min="5901" max="5901" width="10.5703125" style="145" bestFit="1" customWidth="1"/>
    <col min="5902" max="5902" width="9.140625" style="145"/>
    <col min="5903" max="5903" width="12.140625" style="145" customWidth="1"/>
    <col min="5904" max="6145" width="9.140625" style="145"/>
    <col min="6146" max="6146" width="4" style="145" customWidth="1"/>
    <col min="6147" max="6147" width="10.5703125" style="145" customWidth="1"/>
    <col min="6148" max="6148" width="11.140625" style="145" customWidth="1"/>
    <col min="6149" max="6149" width="8.7109375" style="145" customWidth="1"/>
    <col min="6150" max="6150" width="8" style="145" customWidth="1"/>
    <col min="6151" max="6151" width="10.28515625" style="145" customWidth="1"/>
    <col min="6152" max="6152" width="7.140625" style="145" customWidth="1"/>
    <col min="6153" max="6153" width="6.85546875" style="145" customWidth="1"/>
    <col min="6154" max="6154" width="11.7109375" style="145" customWidth="1"/>
    <col min="6155" max="6155" width="11.5703125" style="145" customWidth="1"/>
    <col min="6156" max="6156" width="9.140625" style="145"/>
    <col min="6157" max="6157" width="10.5703125" style="145" bestFit="1" customWidth="1"/>
    <col min="6158" max="6158" width="9.140625" style="145"/>
    <col min="6159" max="6159" width="12.140625" style="145" customWidth="1"/>
    <col min="6160" max="6401" width="9.140625" style="145"/>
    <col min="6402" max="6402" width="4" style="145" customWidth="1"/>
    <col min="6403" max="6403" width="10.5703125" style="145" customWidth="1"/>
    <col min="6404" max="6404" width="11.140625" style="145" customWidth="1"/>
    <col min="6405" max="6405" width="8.7109375" style="145" customWidth="1"/>
    <col min="6406" max="6406" width="8" style="145" customWidth="1"/>
    <col min="6407" max="6407" width="10.28515625" style="145" customWidth="1"/>
    <col min="6408" max="6408" width="7.140625" style="145" customWidth="1"/>
    <col min="6409" max="6409" width="6.85546875" style="145" customWidth="1"/>
    <col min="6410" max="6410" width="11.7109375" style="145" customWidth="1"/>
    <col min="6411" max="6411" width="11.5703125" style="145" customWidth="1"/>
    <col min="6412" max="6412" width="9.140625" style="145"/>
    <col min="6413" max="6413" width="10.5703125" style="145" bestFit="1" customWidth="1"/>
    <col min="6414" max="6414" width="9.140625" style="145"/>
    <col min="6415" max="6415" width="12.140625" style="145" customWidth="1"/>
    <col min="6416" max="6657" width="9.140625" style="145"/>
    <col min="6658" max="6658" width="4" style="145" customWidth="1"/>
    <col min="6659" max="6659" width="10.5703125" style="145" customWidth="1"/>
    <col min="6660" max="6660" width="11.140625" style="145" customWidth="1"/>
    <col min="6661" max="6661" width="8.7109375" style="145" customWidth="1"/>
    <col min="6662" max="6662" width="8" style="145" customWidth="1"/>
    <col min="6663" max="6663" width="10.28515625" style="145" customWidth="1"/>
    <col min="6664" max="6664" width="7.140625" style="145" customWidth="1"/>
    <col min="6665" max="6665" width="6.85546875" style="145" customWidth="1"/>
    <col min="6666" max="6666" width="11.7109375" style="145" customWidth="1"/>
    <col min="6667" max="6667" width="11.5703125" style="145" customWidth="1"/>
    <col min="6668" max="6668" width="9.140625" style="145"/>
    <col min="6669" max="6669" width="10.5703125" style="145" bestFit="1" customWidth="1"/>
    <col min="6670" max="6670" width="9.140625" style="145"/>
    <col min="6671" max="6671" width="12.140625" style="145" customWidth="1"/>
    <col min="6672" max="6913" width="9.140625" style="145"/>
    <col min="6914" max="6914" width="4" style="145" customWidth="1"/>
    <col min="6915" max="6915" width="10.5703125" style="145" customWidth="1"/>
    <col min="6916" max="6916" width="11.140625" style="145" customWidth="1"/>
    <col min="6917" max="6917" width="8.7109375" style="145" customWidth="1"/>
    <col min="6918" max="6918" width="8" style="145" customWidth="1"/>
    <col min="6919" max="6919" width="10.28515625" style="145" customWidth="1"/>
    <col min="6920" max="6920" width="7.140625" style="145" customWidth="1"/>
    <col min="6921" max="6921" width="6.85546875" style="145" customWidth="1"/>
    <col min="6922" max="6922" width="11.7109375" style="145" customWidth="1"/>
    <col min="6923" max="6923" width="11.5703125" style="145" customWidth="1"/>
    <col min="6924" max="6924" width="9.140625" style="145"/>
    <col min="6925" max="6925" width="10.5703125" style="145" bestFit="1" customWidth="1"/>
    <col min="6926" max="6926" width="9.140625" style="145"/>
    <col min="6927" max="6927" width="12.140625" style="145" customWidth="1"/>
    <col min="6928" max="7169" width="9.140625" style="145"/>
    <col min="7170" max="7170" width="4" style="145" customWidth="1"/>
    <col min="7171" max="7171" width="10.5703125" style="145" customWidth="1"/>
    <col min="7172" max="7172" width="11.140625" style="145" customWidth="1"/>
    <col min="7173" max="7173" width="8.7109375" style="145" customWidth="1"/>
    <col min="7174" max="7174" width="8" style="145" customWidth="1"/>
    <col min="7175" max="7175" width="10.28515625" style="145" customWidth="1"/>
    <col min="7176" max="7176" width="7.140625" style="145" customWidth="1"/>
    <col min="7177" max="7177" width="6.85546875" style="145" customWidth="1"/>
    <col min="7178" max="7178" width="11.7109375" style="145" customWidth="1"/>
    <col min="7179" max="7179" width="11.5703125" style="145" customWidth="1"/>
    <col min="7180" max="7180" width="9.140625" style="145"/>
    <col min="7181" max="7181" width="10.5703125" style="145" bestFit="1" customWidth="1"/>
    <col min="7182" max="7182" width="9.140625" style="145"/>
    <col min="7183" max="7183" width="12.140625" style="145" customWidth="1"/>
    <col min="7184" max="7425" width="9.140625" style="145"/>
    <col min="7426" max="7426" width="4" style="145" customWidth="1"/>
    <col min="7427" max="7427" width="10.5703125" style="145" customWidth="1"/>
    <col min="7428" max="7428" width="11.140625" style="145" customWidth="1"/>
    <col min="7429" max="7429" width="8.7109375" style="145" customWidth="1"/>
    <col min="7430" max="7430" width="8" style="145" customWidth="1"/>
    <col min="7431" max="7431" width="10.28515625" style="145" customWidth="1"/>
    <col min="7432" max="7432" width="7.140625" style="145" customWidth="1"/>
    <col min="7433" max="7433" width="6.85546875" style="145" customWidth="1"/>
    <col min="7434" max="7434" width="11.7109375" style="145" customWidth="1"/>
    <col min="7435" max="7435" width="11.5703125" style="145" customWidth="1"/>
    <col min="7436" max="7436" width="9.140625" style="145"/>
    <col min="7437" max="7437" width="10.5703125" style="145" bestFit="1" customWidth="1"/>
    <col min="7438" max="7438" width="9.140625" style="145"/>
    <col min="7439" max="7439" width="12.140625" style="145" customWidth="1"/>
    <col min="7440" max="7681" width="9.140625" style="145"/>
    <col min="7682" max="7682" width="4" style="145" customWidth="1"/>
    <col min="7683" max="7683" width="10.5703125" style="145" customWidth="1"/>
    <col min="7684" max="7684" width="11.140625" style="145" customWidth="1"/>
    <col min="7685" max="7685" width="8.7109375" style="145" customWidth="1"/>
    <col min="7686" max="7686" width="8" style="145" customWidth="1"/>
    <col min="7687" max="7687" width="10.28515625" style="145" customWidth="1"/>
    <col min="7688" max="7688" width="7.140625" style="145" customWidth="1"/>
    <col min="7689" max="7689" width="6.85546875" style="145" customWidth="1"/>
    <col min="7690" max="7690" width="11.7109375" style="145" customWidth="1"/>
    <col min="7691" max="7691" width="11.5703125" style="145" customWidth="1"/>
    <col min="7692" max="7692" width="9.140625" style="145"/>
    <col min="7693" max="7693" width="10.5703125" style="145" bestFit="1" customWidth="1"/>
    <col min="7694" max="7694" width="9.140625" style="145"/>
    <col min="7695" max="7695" width="12.140625" style="145" customWidth="1"/>
    <col min="7696" max="7937" width="9.140625" style="145"/>
    <col min="7938" max="7938" width="4" style="145" customWidth="1"/>
    <col min="7939" max="7939" width="10.5703125" style="145" customWidth="1"/>
    <col min="7940" max="7940" width="11.140625" style="145" customWidth="1"/>
    <col min="7941" max="7941" width="8.7109375" style="145" customWidth="1"/>
    <col min="7942" max="7942" width="8" style="145" customWidth="1"/>
    <col min="7943" max="7943" width="10.28515625" style="145" customWidth="1"/>
    <col min="7944" max="7944" width="7.140625" style="145" customWidth="1"/>
    <col min="7945" max="7945" width="6.85546875" style="145" customWidth="1"/>
    <col min="7946" max="7946" width="11.7109375" style="145" customWidth="1"/>
    <col min="7947" max="7947" width="11.5703125" style="145" customWidth="1"/>
    <col min="7948" max="7948" width="9.140625" style="145"/>
    <col min="7949" max="7949" width="10.5703125" style="145" bestFit="1" customWidth="1"/>
    <col min="7950" max="7950" width="9.140625" style="145"/>
    <col min="7951" max="7951" width="12.140625" style="145" customWidth="1"/>
    <col min="7952" max="8193" width="9.140625" style="145"/>
    <col min="8194" max="8194" width="4" style="145" customWidth="1"/>
    <col min="8195" max="8195" width="10.5703125" style="145" customWidth="1"/>
    <col min="8196" max="8196" width="11.140625" style="145" customWidth="1"/>
    <col min="8197" max="8197" width="8.7109375" style="145" customWidth="1"/>
    <col min="8198" max="8198" width="8" style="145" customWidth="1"/>
    <col min="8199" max="8199" width="10.28515625" style="145" customWidth="1"/>
    <col min="8200" max="8200" width="7.140625" style="145" customWidth="1"/>
    <col min="8201" max="8201" width="6.85546875" style="145" customWidth="1"/>
    <col min="8202" max="8202" width="11.7109375" style="145" customWidth="1"/>
    <col min="8203" max="8203" width="11.5703125" style="145" customWidth="1"/>
    <col min="8204" max="8204" width="9.140625" style="145"/>
    <col min="8205" max="8205" width="10.5703125" style="145" bestFit="1" customWidth="1"/>
    <col min="8206" max="8206" width="9.140625" style="145"/>
    <col min="8207" max="8207" width="12.140625" style="145" customWidth="1"/>
    <col min="8208" max="8449" width="9.140625" style="145"/>
    <col min="8450" max="8450" width="4" style="145" customWidth="1"/>
    <col min="8451" max="8451" width="10.5703125" style="145" customWidth="1"/>
    <col min="8452" max="8452" width="11.140625" style="145" customWidth="1"/>
    <col min="8453" max="8453" width="8.7109375" style="145" customWidth="1"/>
    <col min="8454" max="8454" width="8" style="145" customWidth="1"/>
    <col min="8455" max="8455" width="10.28515625" style="145" customWidth="1"/>
    <col min="8456" max="8456" width="7.140625" style="145" customWidth="1"/>
    <col min="8457" max="8457" width="6.85546875" style="145" customWidth="1"/>
    <col min="8458" max="8458" width="11.7109375" style="145" customWidth="1"/>
    <col min="8459" max="8459" width="11.5703125" style="145" customWidth="1"/>
    <col min="8460" max="8460" width="9.140625" style="145"/>
    <col min="8461" max="8461" width="10.5703125" style="145" bestFit="1" customWidth="1"/>
    <col min="8462" max="8462" width="9.140625" style="145"/>
    <col min="8463" max="8463" width="12.140625" style="145" customWidth="1"/>
    <col min="8464" max="8705" width="9.140625" style="145"/>
    <col min="8706" max="8706" width="4" style="145" customWidth="1"/>
    <col min="8707" max="8707" width="10.5703125" style="145" customWidth="1"/>
    <col min="8708" max="8708" width="11.140625" style="145" customWidth="1"/>
    <col min="8709" max="8709" width="8.7109375" style="145" customWidth="1"/>
    <col min="8710" max="8710" width="8" style="145" customWidth="1"/>
    <col min="8711" max="8711" width="10.28515625" style="145" customWidth="1"/>
    <col min="8712" max="8712" width="7.140625" style="145" customWidth="1"/>
    <col min="8713" max="8713" width="6.85546875" style="145" customWidth="1"/>
    <col min="8714" max="8714" width="11.7109375" style="145" customWidth="1"/>
    <col min="8715" max="8715" width="11.5703125" style="145" customWidth="1"/>
    <col min="8716" max="8716" width="9.140625" style="145"/>
    <col min="8717" max="8717" width="10.5703125" style="145" bestFit="1" customWidth="1"/>
    <col min="8718" max="8718" width="9.140625" style="145"/>
    <col min="8719" max="8719" width="12.140625" style="145" customWidth="1"/>
    <col min="8720" max="8961" width="9.140625" style="145"/>
    <col min="8962" max="8962" width="4" style="145" customWidth="1"/>
    <col min="8963" max="8963" width="10.5703125" style="145" customWidth="1"/>
    <col min="8964" max="8964" width="11.140625" style="145" customWidth="1"/>
    <col min="8965" max="8965" width="8.7109375" style="145" customWidth="1"/>
    <col min="8966" max="8966" width="8" style="145" customWidth="1"/>
    <col min="8967" max="8967" width="10.28515625" style="145" customWidth="1"/>
    <col min="8968" max="8968" width="7.140625" style="145" customWidth="1"/>
    <col min="8969" max="8969" width="6.85546875" style="145" customWidth="1"/>
    <col min="8970" max="8970" width="11.7109375" style="145" customWidth="1"/>
    <col min="8971" max="8971" width="11.5703125" style="145" customWidth="1"/>
    <col min="8972" max="8972" width="9.140625" style="145"/>
    <col min="8973" max="8973" width="10.5703125" style="145" bestFit="1" customWidth="1"/>
    <col min="8974" max="8974" width="9.140625" style="145"/>
    <col min="8975" max="8975" width="12.140625" style="145" customWidth="1"/>
    <col min="8976" max="9217" width="9.140625" style="145"/>
    <col min="9218" max="9218" width="4" style="145" customWidth="1"/>
    <col min="9219" max="9219" width="10.5703125" style="145" customWidth="1"/>
    <col min="9220" max="9220" width="11.140625" style="145" customWidth="1"/>
    <col min="9221" max="9221" width="8.7109375" style="145" customWidth="1"/>
    <col min="9222" max="9222" width="8" style="145" customWidth="1"/>
    <col min="9223" max="9223" width="10.28515625" style="145" customWidth="1"/>
    <col min="9224" max="9224" width="7.140625" style="145" customWidth="1"/>
    <col min="9225" max="9225" width="6.85546875" style="145" customWidth="1"/>
    <col min="9226" max="9226" width="11.7109375" style="145" customWidth="1"/>
    <col min="9227" max="9227" width="11.5703125" style="145" customWidth="1"/>
    <col min="9228" max="9228" width="9.140625" style="145"/>
    <col min="9229" max="9229" width="10.5703125" style="145" bestFit="1" customWidth="1"/>
    <col min="9230" max="9230" width="9.140625" style="145"/>
    <col min="9231" max="9231" width="12.140625" style="145" customWidth="1"/>
    <col min="9232" max="9473" width="9.140625" style="145"/>
    <col min="9474" max="9474" width="4" style="145" customWidth="1"/>
    <col min="9475" max="9475" width="10.5703125" style="145" customWidth="1"/>
    <col min="9476" max="9476" width="11.140625" style="145" customWidth="1"/>
    <col min="9477" max="9477" width="8.7109375" style="145" customWidth="1"/>
    <col min="9478" max="9478" width="8" style="145" customWidth="1"/>
    <col min="9479" max="9479" width="10.28515625" style="145" customWidth="1"/>
    <col min="9480" max="9480" width="7.140625" style="145" customWidth="1"/>
    <col min="9481" max="9481" width="6.85546875" style="145" customWidth="1"/>
    <col min="9482" max="9482" width="11.7109375" style="145" customWidth="1"/>
    <col min="9483" max="9483" width="11.5703125" style="145" customWidth="1"/>
    <col min="9484" max="9484" width="9.140625" style="145"/>
    <col min="9485" max="9485" width="10.5703125" style="145" bestFit="1" customWidth="1"/>
    <col min="9486" max="9486" width="9.140625" style="145"/>
    <col min="9487" max="9487" width="12.140625" style="145" customWidth="1"/>
    <col min="9488" max="9729" width="9.140625" style="145"/>
    <col min="9730" max="9730" width="4" style="145" customWidth="1"/>
    <col min="9731" max="9731" width="10.5703125" style="145" customWidth="1"/>
    <col min="9732" max="9732" width="11.140625" style="145" customWidth="1"/>
    <col min="9733" max="9733" width="8.7109375" style="145" customWidth="1"/>
    <col min="9734" max="9734" width="8" style="145" customWidth="1"/>
    <col min="9735" max="9735" width="10.28515625" style="145" customWidth="1"/>
    <col min="9736" max="9736" width="7.140625" style="145" customWidth="1"/>
    <col min="9737" max="9737" width="6.85546875" style="145" customWidth="1"/>
    <col min="9738" max="9738" width="11.7109375" style="145" customWidth="1"/>
    <col min="9739" max="9739" width="11.5703125" style="145" customWidth="1"/>
    <col min="9740" max="9740" width="9.140625" style="145"/>
    <col min="9741" max="9741" width="10.5703125" style="145" bestFit="1" customWidth="1"/>
    <col min="9742" max="9742" width="9.140625" style="145"/>
    <col min="9743" max="9743" width="12.140625" style="145" customWidth="1"/>
    <col min="9744" max="9985" width="9.140625" style="145"/>
    <col min="9986" max="9986" width="4" style="145" customWidth="1"/>
    <col min="9987" max="9987" width="10.5703125" style="145" customWidth="1"/>
    <col min="9988" max="9988" width="11.140625" style="145" customWidth="1"/>
    <col min="9989" max="9989" width="8.7109375" style="145" customWidth="1"/>
    <col min="9990" max="9990" width="8" style="145" customWidth="1"/>
    <col min="9991" max="9991" width="10.28515625" style="145" customWidth="1"/>
    <col min="9992" max="9992" width="7.140625" style="145" customWidth="1"/>
    <col min="9993" max="9993" width="6.85546875" style="145" customWidth="1"/>
    <col min="9994" max="9994" width="11.7109375" style="145" customWidth="1"/>
    <col min="9995" max="9995" width="11.5703125" style="145" customWidth="1"/>
    <col min="9996" max="9996" width="9.140625" style="145"/>
    <col min="9997" max="9997" width="10.5703125" style="145" bestFit="1" customWidth="1"/>
    <col min="9998" max="9998" width="9.140625" style="145"/>
    <col min="9999" max="9999" width="12.140625" style="145" customWidth="1"/>
    <col min="10000" max="10241" width="9.140625" style="145"/>
    <col min="10242" max="10242" width="4" style="145" customWidth="1"/>
    <col min="10243" max="10243" width="10.5703125" style="145" customWidth="1"/>
    <col min="10244" max="10244" width="11.140625" style="145" customWidth="1"/>
    <col min="10245" max="10245" width="8.7109375" style="145" customWidth="1"/>
    <col min="10246" max="10246" width="8" style="145" customWidth="1"/>
    <col min="10247" max="10247" width="10.28515625" style="145" customWidth="1"/>
    <col min="10248" max="10248" width="7.140625" style="145" customWidth="1"/>
    <col min="10249" max="10249" width="6.85546875" style="145" customWidth="1"/>
    <col min="10250" max="10250" width="11.7109375" style="145" customWidth="1"/>
    <col min="10251" max="10251" width="11.5703125" style="145" customWidth="1"/>
    <col min="10252" max="10252" width="9.140625" style="145"/>
    <col min="10253" max="10253" width="10.5703125" style="145" bestFit="1" customWidth="1"/>
    <col min="10254" max="10254" width="9.140625" style="145"/>
    <col min="10255" max="10255" width="12.140625" style="145" customWidth="1"/>
    <col min="10256" max="10497" width="9.140625" style="145"/>
    <col min="10498" max="10498" width="4" style="145" customWidth="1"/>
    <col min="10499" max="10499" width="10.5703125" style="145" customWidth="1"/>
    <col min="10500" max="10500" width="11.140625" style="145" customWidth="1"/>
    <col min="10501" max="10501" width="8.7109375" style="145" customWidth="1"/>
    <col min="10502" max="10502" width="8" style="145" customWidth="1"/>
    <col min="10503" max="10503" width="10.28515625" style="145" customWidth="1"/>
    <col min="10504" max="10504" width="7.140625" style="145" customWidth="1"/>
    <col min="10505" max="10505" width="6.85546875" style="145" customWidth="1"/>
    <col min="10506" max="10506" width="11.7109375" style="145" customWidth="1"/>
    <col min="10507" max="10507" width="11.5703125" style="145" customWidth="1"/>
    <col min="10508" max="10508" width="9.140625" style="145"/>
    <col min="10509" max="10509" width="10.5703125" style="145" bestFit="1" customWidth="1"/>
    <col min="10510" max="10510" width="9.140625" style="145"/>
    <col min="10511" max="10511" width="12.140625" style="145" customWidth="1"/>
    <col min="10512" max="10753" width="9.140625" style="145"/>
    <col min="10754" max="10754" width="4" style="145" customWidth="1"/>
    <col min="10755" max="10755" width="10.5703125" style="145" customWidth="1"/>
    <col min="10756" max="10756" width="11.140625" style="145" customWidth="1"/>
    <col min="10757" max="10757" width="8.7109375" style="145" customWidth="1"/>
    <col min="10758" max="10758" width="8" style="145" customWidth="1"/>
    <col min="10759" max="10759" width="10.28515625" style="145" customWidth="1"/>
    <col min="10760" max="10760" width="7.140625" style="145" customWidth="1"/>
    <col min="10761" max="10761" width="6.85546875" style="145" customWidth="1"/>
    <col min="10762" max="10762" width="11.7109375" style="145" customWidth="1"/>
    <col min="10763" max="10763" width="11.5703125" style="145" customWidth="1"/>
    <col min="10764" max="10764" width="9.140625" style="145"/>
    <col min="10765" max="10765" width="10.5703125" style="145" bestFit="1" customWidth="1"/>
    <col min="10766" max="10766" width="9.140625" style="145"/>
    <col min="10767" max="10767" width="12.140625" style="145" customWidth="1"/>
    <col min="10768" max="11009" width="9.140625" style="145"/>
    <col min="11010" max="11010" width="4" style="145" customWidth="1"/>
    <col min="11011" max="11011" width="10.5703125" style="145" customWidth="1"/>
    <col min="11012" max="11012" width="11.140625" style="145" customWidth="1"/>
    <col min="11013" max="11013" width="8.7109375" style="145" customWidth="1"/>
    <col min="11014" max="11014" width="8" style="145" customWidth="1"/>
    <col min="11015" max="11015" width="10.28515625" style="145" customWidth="1"/>
    <col min="11016" max="11016" width="7.140625" style="145" customWidth="1"/>
    <col min="11017" max="11017" width="6.85546875" style="145" customWidth="1"/>
    <col min="11018" max="11018" width="11.7109375" style="145" customWidth="1"/>
    <col min="11019" max="11019" width="11.5703125" style="145" customWidth="1"/>
    <col min="11020" max="11020" width="9.140625" style="145"/>
    <col min="11021" max="11021" width="10.5703125" style="145" bestFit="1" customWidth="1"/>
    <col min="11022" max="11022" width="9.140625" style="145"/>
    <col min="11023" max="11023" width="12.140625" style="145" customWidth="1"/>
    <col min="11024" max="11265" width="9.140625" style="145"/>
    <col min="11266" max="11266" width="4" style="145" customWidth="1"/>
    <col min="11267" max="11267" width="10.5703125" style="145" customWidth="1"/>
    <col min="11268" max="11268" width="11.140625" style="145" customWidth="1"/>
    <col min="11269" max="11269" width="8.7109375" style="145" customWidth="1"/>
    <col min="11270" max="11270" width="8" style="145" customWidth="1"/>
    <col min="11271" max="11271" width="10.28515625" style="145" customWidth="1"/>
    <col min="11272" max="11272" width="7.140625" style="145" customWidth="1"/>
    <col min="11273" max="11273" width="6.85546875" style="145" customWidth="1"/>
    <col min="11274" max="11274" width="11.7109375" style="145" customWidth="1"/>
    <col min="11275" max="11275" width="11.5703125" style="145" customWidth="1"/>
    <col min="11276" max="11276" width="9.140625" style="145"/>
    <col min="11277" max="11277" width="10.5703125" style="145" bestFit="1" customWidth="1"/>
    <col min="11278" max="11278" width="9.140625" style="145"/>
    <col min="11279" max="11279" width="12.140625" style="145" customWidth="1"/>
    <col min="11280" max="11521" width="9.140625" style="145"/>
    <col min="11522" max="11522" width="4" style="145" customWidth="1"/>
    <col min="11523" max="11523" width="10.5703125" style="145" customWidth="1"/>
    <col min="11524" max="11524" width="11.140625" style="145" customWidth="1"/>
    <col min="11525" max="11525" width="8.7109375" style="145" customWidth="1"/>
    <col min="11526" max="11526" width="8" style="145" customWidth="1"/>
    <col min="11527" max="11527" width="10.28515625" style="145" customWidth="1"/>
    <col min="11528" max="11528" width="7.140625" style="145" customWidth="1"/>
    <col min="11529" max="11529" width="6.85546875" style="145" customWidth="1"/>
    <col min="11530" max="11530" width="11.7109375" style="145" customWidth="1"/>
    <col min="11531" max="11531" width="11.5703125" style="145" customWidth="1"/>
    <col min="11532" max="11532" width="9.140625" style="145"/>
    <col min="11533" max="11533" width="10.5703125" style="145" bestFit="1" customWidth="1"/>
    <col min="11534" max="11534" width="9.140625" style="145"/>
    <col min="11535" max="11535" width="12.140625" style="145" customWidth="1"/>
    <col min="11536" max="11777" width="9.140625" style="145"/>
    <col min="11778" max="11778" width="4" style="145" customWidth="1"/>
    <col min="11779" max="11779" width="10.5703125" style="145" customWidth="1"/>
    <col min="11780" max="11780" width="11.140625" style="145" customWidth="1"/>
    <col min="11781" max="11781" width="8.7109375" style="145" customWidth="1"/>
    <col min="11782" max="11782" width="8" style="145" customWidth="1"/>
    <col min="11783" max="11783" width="10.28515625" style="145" customWidth="1"/>
    <col min="11784" max="11784" width="7.140625" style="145" customWidth="1"/>
    <col min="11785" max="11785" width="6.85546875" style="145" customWidth="1"/>
    <col min="11786" max="11786" width="11.7109375" style="145" customWidth="1"/>
    <col min="11787" max="11787" width="11.5703125" style="145" customWidth="1"/>
    <col min="11788" max="11788" width="9.140625" style="145"/>
    <col min="11789" max="11789" width="10.5703125" style="145" bestFit="1" customWidth="1"/>
    <col min="11790" max="11790" width="9.140625" style="145"/>
    <col min="11791" max="11791" width="12.140625" style="145" customWidth="1"/>
    <col min="11792" max="12033" width="9.140625" style="145"/>
    <col min="12034" max="12034" width="4" style="145" customWidth="1"/>
    <col min="12035" max="12035" width="10.5703125" style="145" customWidth="1"/>
    <col min="12036" max="12036" width="11.140625" style="145" customWidth="1"/>
    <col min="12037" max="12037" width="8.7109375" style="145" customWidth="1"/>
    <col min="12038" max="12038" width="8" style="145" customWidth="1"/>
    <col min="12039" max="12039" width="10.28515625" style="145" customWidth="1"/>
    <col min="12040" max="12040" width="7.140625" style="145" customWidth="1"/>
    <col min="12041" max="12041" width="6.85546875" style="145" customWidth="1"/>
    <col min="12042" max="12042" width="11.7109375" style="145" customWidth="1"/>
    <col min="12043" max="12043" width="11.5703125" style="145" customWidth="1"/>
    <col min="12044" max="12044" width="9.140625" style="145"/>
    <col min="12045" max="12045" width="10.5703125" style="145" bestFit="1" customWidth="1"/>
    <col min="12046" max="12046" width="9.140625" style="145"/>
    <col min="12047" max="12047" width="12.140625" style="145" customWidth="1"/>
    <col min="12048" max="12289" width="9.140625" style="145"/>
    <col min="12290" max="12290" width="4" style="145" customWidth="1"/>
    <col min="12291" max="12291" width="10.5703125" style="145" customWidth="1"/>
    <col min="12292" max="12292" width="11.140625" style="145" customWidth="1"/>
    <col min="12293" max="12293" width="8.7109375" style="145" customWidth="1"/>
    <col min="12294" max="12294" width="8" style="145" customWidth="1"/>
    <col min="12295" max="12295" width="10.28515625" style="145" customWidth="1"/>
    <col min="12296" max="12296" width="7.140625" style="145" customWidth="1"/>
    <col min="12297" max="12297" width="6.85546875" style="145" customWidth="1"/>
    <col min="12298" max="12298" width="11.7109375" style="145" customWidth="1"/>
    <col min="12299" max="12299" width="11.5703125" style="145" customWidth="1"/>
    <col min="12300" max="12300" width="9.140625" style="145"/>
    <col min="12301" max="12301" width="10.5703125" style="145" bestFit="1" customWidth="1"/>
    <col min="12302" max="12302" width="9.140625" style="145"/>
    <col min="12303" max="12303" width="12.140625" style="145" customWidth="1"/>
    <col min="12304" max="12545" width="9.140625" style="145"/>
    <col min="12546" max="12546" width="4" style="145" customWidth="1"/>
    <col min="12547" max="12547" width="10.5703125" style="145" customWidth="1"/>
    <col min="12548" max="12548" width="11.140625" style="145" customWidth="1"/>
    <col min="12549" max="12549" width="8.7109375" style="145" customWidth="1"/>
    <col min="12550" max="12550" width="8" style="145" customWidth="1"/>
    <col min="12551" max="12551" width="10.28515625" style="145" customWidth="1"/>
    <col min="12552" max="12552" width="7.140625" style="145" customWidth="1"/>
    <col min="12553" max="12553" width="6.85546875" style="145" customWidth="1"/>
    <col min="12554" max="12554" width="11.7109375" style="145" customWidth="1"/>
    <col min="12555" max="12555" width="11.5703125" style="145" customWidth="1"/>
    <col min="12556" max="12556" width="9.140625" style="145"/>
    <col min="12557" max="12557" width="10.5703125" style="145" bestFit="1" customWidth="1"/>
    <col min="12558" max="12558" width="9.140625" style="145"/>
    <col min="12559" max="12559" width="12.140625" style="145" customWidth="1"/>
    <col min="12560" max="12801" width="9.140625" style="145"/>
    <col min="12802" max="12802" width="4" style="145" customWidth="1"/>
    <col min="12803" max="12803" width="10.5703125" style="145" customWidth="1"/>
    <col min="12804" max="12804" width="11.140625" style="145" customWidth="1"/>
    <col min="12805" max="12805" width="8.7109375" style="145" customWidth="1"/>
    <col min="12806" max="12806" width="8" style="145" customWidth="1"/>
    <col min="12807" max="12807" width="10.28515625" style="145" customWidth="1"/>
    <col min="12808" max="12808" width="7.140625" style="145" customWidth="1"/>
    <col min="12809" max="12809" width="6.85546875" style="145" customWidth="1"/>
    <col min="12810" max="12810" width="11.7109375" style="145" customWidth="1"/>
    <col min="12811" max="12811" width="11.5703125" style="145" customWidth="1"/>
    <col min="12812" max="12812" width="9.140625" style="145"/>
    <col min="12813" max="12813" width="10.5703125" style="145" bestFit="1" customWidth="1"/>
    <col min="12814" max="12814" width="9.140625" style="145"/>
    <col min="12815" max="12815" width="12.140625" style="145" customWidth="1"/>
    <col min="12816" max="13057" width="9.140625" style="145"/>
    <col min="13058" max="13058" width="4" style="145" customWidth="1"/>
    <col min="13059" max="13059" width="10.5703125" style="145" customWidth="1"/>
    <col min="13060" max="13060" width="11.140625" style="145" customWidth="1"/>
    <col min="13061" max="13061" width="8.7109375" style="145" customWidth="1"/>
    <col min="13062" max="13062" width="8" style="145" customWidth="1"/>
    <col min="13063" max="13063" width="10.28515625" style="145" customWidth="1"/>
    <col min="13064" max="13064" width="7.140625" style="145" customWidth="1"/>
    <col min="13065" max="13065" width="6.85546875" style="145" customWidth="1"/>
    <col min="13066" max="13066" width="11.7109375" style="145" customWidth="1"/>
    <col min="13067" max="13067" width="11.5703125" style="145" customWidth="1"/>
    <col min="13068" max="13068" width="9.140625" style="145"/>
    <col min="13069" max="13069" width="10.5703125" style="145" bestFit="1" customWidth="1"/>
    <col min="13070" max="13070" width="9.140625" style="145"/>
    <col min="13071" max="13071" width="12.140625" style="145" customWidth="1"/>
    <col min="13072" max="13313" width="9.140625" style="145"/>
    <col min="13314" max="13314" width="4" style="145" customWidth="1"/>
    <col min="13315" max="13315" width="10.5703125" style="145" customWidth="1"/>
    <col min="13316" max="13316" width="11.140625" style="145" customWidth="1"/>
    <col min="13317" max="13317" width="8.7109375" style="145" customWidth="1"/>
    <col min="13318" max="13318" width="8" style="145" customWidth="1"/>
    <col min="13319" max="13319" width="10.28515625" style="145" customWidth="1"/>
    <col min="13320" max="13320" width="7.140625" style="145" customWidth="1"/>
    <col min="13321" max="13321" width="6.85546875" style="145" customWidth="1"/>
    <col min="13322" max="13322" width="11.7109375" style="145" customWidth="1"/>
    <col min="13323" max="13323" width="11.5703125" style="145" customWidth="1"/>
    <col min="13324" max="13324" width="9.140625" style="145"/>
    <col min="13325" max="13325" width="10.5703125" style="145" bestFit="1" customWidth="1"/>
    <col min="13326" max="13326" width="9.140625" style="145"/>
    <col min="13327" max="13327" width="12.140625" style="145" customWidth="1"/>
    <col min="13328" max="13569" width="9.140625" style="145"/>
    <col min="13570" max="13570" width="4" style="145" customWidth="1"/>
    <col min="13571" max="13571" width="10.5703125" style="145" customWidth="1"/>
    <col min="13572" max="13572" width="11.140625" style="145" customWidth="1"/>
    <col min="13573" max="13573" width="8.7109375" style="145" customWidth="1"/>
    <col min="13574" max="13574" width="8" style="145" customWidth="1"/>
    <col min="13575" max="13575" width="10.28515625" style="145" customWidth="1"/>
    <col min="13576" max="13576" width="7.140625" style="145" customWidth="1"/>
    <col min="13577" max="13577" width="6.85546875" style="145" customWidth="1"/>
    <col min="13578" max="13578" width="11.7109375" style="145" customWidth="1"/>
    <col min="13579" max="13579" width="11.5703125" style="145" customWidth="1"/>
    <col min="13580" max="13580" width="9.140625" style="145"/>
    <col min="13581" max="13581" width="10.5703125" style="145" bestFit="1" customWidth="1"/>
    <col min="13582" max="13582" width="9.140625" style="145"/>
    <col min="13583" max="13583" width="12.140625" style="145" customWidth="1"/>
    <col min="13584" max="13825" width="9.140625" style="145"/>
    <col min="13826" max="13826" width="4" style="145" customWidth="1"/>
    <col min="13827" max="13827" width="10.5703125" style="145" customWidth="1"/>
    <col min="13828" max="13828" width="11.140625" style="145" customWidth="1"/>
    <col min="13829" max="13829" width="8.7109375" style="145" customWidth="1"/>
    <col min="13830" max="13830" width="8" style="145" customWidth="1"/>
    <col min="13831" max="13831" width="10.28515625" style="145" customWidth="1"/>
    <col min="13832" max="13832" width="7.140625" style="145" customWidth="1"/>
    <col min="13833" max="13833" width="6.85546875" style="145" customWidth="1"/>
    <col min="13834" max="13834" width="11.7109375" style="145" customWidth="1"/>
    <col min="13835" max="13835" width="11.5703125" style="145" customWidth="1"/>
    <col min="13836" max="13836" width="9.140625" style="145"/>
    <col min="13837" max="13837" width="10.5703125" style="145" bestFit="1" customWidth="1"/>
    <col min="13838" max="13838" width="9.140625" style="145"/>
    <col min="13839" max="13839" width="12.140625" style="145" customWidth="1"/>
    <col min="13840" max="14081" width="9.140625" style="145"/>
    <col min="14082" max="14082" width="4" style="145" customWidth="1"/>
    <col min="14083" max="14083" width="10.5703125" style="145" customWidth="1"/>
    <col min="14084" max="14084" width="11.140625" style="145" customWidth="1"/>
    <col min="14085" max="14085" width="8.7109375" style="145" customWidth="1"/>
    <col min="14086" max="14086" width="8" style="145" customWidth="1"/>
    <col min="14087" max="14087" width="10.28515625" style="145" customWidth="1"/>
    <col min="14088" max="14088" width="7.140625" style="145" customWidth="1"/>
    <col min="14089" max="14089" width="6.85546875" style="145" customWidth="1"/>
    <col min="14090" max="14090" width="11.7109375" style="145" customWidth="1"/>
    <col min="14091" max="14091" width="11.5703125" style="145" customWidth="1"/>
    <col min="14092" max="14092" width="9.140625" style="145"/>
    <col min="14093" max="14093" width="10.5703125" style="145" bestFit="1" customWidth="1"/>
    <col min="14094" max="14094" width="9.140625" style="145"/>
    <col min="14095" max="14095" width="12.140625" style="145" customWidth="1"/>
    <col min="14096" max="14337" width="9.140625" style="145"/>
    <col min="14338" max="14338" width="4" style="145" customWidth="1"/>
    <col min="14339" max="14339" width="10.5703125" style="145" customWidth="1"/>
    <col min="14340" max="14340" width="11.140625" style="145" customWidth="1"/>
    <col min="14341" max="14341" width="8.7109375" style="145" customWidth="1"/>
    <col min="14342" max="14342" width="8" style="145" customWidth="1"/>
    <col min="14343" max="14343" width="10.28515625" style="145" customWidth="1"/>
    <col min="14344" max="14344" width="7.140625" style="145" customWidth="1"/>
    <col min="14345" max="14345" width="6.85546875" style="145" customWidth="1"/>
    <col min="14346" max="14346" width="11.7109375" style="145" customWidth="1"/>
    <col min="14347" max="14347" width="11.5703125" style="145" customWidth="1"/>
    <col min="14348" max="14348" width="9.140625" style="145"/>
    <col min="14349" max="14349" width="10.5703125" style="145" bestFit="1" customWidth="1"/>
    <col min="14350" max="14350" width="9.140625" style="145"/>
    <col min="14351" max="14351" width="12.140625" style="145" customWidth="1"/>
    <col min="14352" max="14593" width="9.140625" style="145"/>
    <col min="14594" max="14594" width="4" style="145" customWidth="1"/>
    <col min="14595" max="14595" width="10.5703125" style="145" customWidth="1"/>
    <col min="14596" max="14596" width="11.140625" style="145" customWidth="1"/>
    <col min="14597" max="14597" width="8.7109375" style="145" customWidth="1"/>
    <col min="14598" max="14598" width="8" style="145" customWidth="1"/>
    <col min="14599" max="14599" width="10.28515625" style="145" customWidth="1"/>
    <col min="14600" max="14600" width="7.140625" style="145" customWidth="1"/>
    <col min="14601" max="14601" width="6.85546875" style="145" customWidth="1"/>
    <col min="14602" max="14602" width="11.7109375" style="145" customWidth="1"/>
    <col min="14603" max="14603" width="11.5703125" style="145" customWidth="1"/>
    <col min="14604" max="14604" width="9.140625" style="145"/>
    <col min="14605" max="14605" width="10.5703125" style="145" bestFit="1" customWidth="1"/>
    <col min="14606" max="14606" width="9.140625" style="145"/>
    <col min="14607" max="14607" width="12.140625" style="145" customWidth="1"/>
    <col min="14608" max="14849" width="9.140625" style="145"/>
    <col min="14850" max="14850" width="4" style="145" customWidth="1"/>
    <col min="14851" max="14851" width="10.5703125" style="145" customWidth="1"/>
    <col min="14852" max="14852" width="11.140625" style="145" customWidth="1"/>
    <col min="14853" max="14853" width="8.7109375" style="145" customWidth="1"/>
    <col min="14854" max="14854" width="8" style="145" customWidth="1"/>
    <col min="14855" max="14855" width="10.28515625" style="145" customWidth="1"/>
    <col min="14856" max="14856" width="7.140625" style="145" customWidth="1"/>
    <col min="14857" max="14857" width="6.85546875" style="145" customWidth="1"/>
    <col min="14858" max="14858" width="11.7109375" style="145" customWidth="1"/>
    <col min="14859" max="14859" width="11.5703125" style="145" customWidth="1"/>
    <col min="14860" max="14860" width="9.140625" style="145"/>
    <col min="14861" max="14861" width="10.5703125" style="145" bestFit="1" customWidth="1"/>
    <col min="14862" max="14862" width="9.140625" style="145"/>
    <col min="14863" max="14863" width="12.140625" style="145" customWidth="1"/>
    <col min="14864" max="15105" width="9.140625" style="145"/>
    <col min="15106" max="15106" width="4" style="145" customWidth="1"/>
    <col min="15107" max="15107" width="10.5703125" style="145" customWidth="1"/>
    <col min="15108" max="15108" width="11.140625" style="145" customWidth="1"/>
    <col min="15109" max="15109" width="8.7109375" style="145" customWidth="1"/>
    <col min="15110" max="15110" width="8" style="145" customWidth="1"/>
    <col min="15111" max="15111" width="10.28515625" style="145" customWidth="1"/>
    <col min="15112" max="15112" width="7.140625" style="145" customWidth="1"/>
    <col min="15113" max="15113" width="6.85546875" style="145" customWidth="1"/>
    <col min="15114" max="15114" width="11.7109375" style="145" customWidth="1"/>
    <col min="15115" max="15115" width="11.5703125" style="145" customWidth="1"/>
    <col min="15116" max="15116" width="9.140625" style="145"/>
    <col min="15117" max="15117" width="10.5703125" style="145" bestFit="1" customWidth="1"/>
    <col min="15118" max="15118" width="9.140625" style="145"/>
    <col min="15119" max="15119" width="12.140625" style="145" customWidth="1"/>
    <col min="15120" max="15361" width="9.140625" style="145"/>
    <col min="15362" max="15362" width="4" style="145" customWidth="1"/>
    <col min="15363" max="15363" width="10.5703125" style="145" customWidth="1"/>
    <col min="15364" max="15364" width="11.140625" style="145" customWidth="1"/>
    <col min="15365" max="15365" width="8.7109375" style="145" customWidth="1"/>
    <col min="15366" max="15366" width="8" style="145" customWidth="1"/>
    <col min="15367" max="15367" width="10.28515625" style="145" customWidth="1"/>
    <col min="15368" max="15368" width="7.140625" style="145" customWidth="1"/>
    <col min="15369" max="15369" width="6.85546875" style="145" customWidth="1"/>
    <col min="15370" max="15370" width="11.7109375" style="145" customWidth="1"/>
    <col min="15371" max="15371" width="11.5703125" style="145" customWidth="1"/>
    <col min="15372" max="15372" width="9.140625" style="145"/>
    <col min="15373" max="15373" width="10.5703125" style="145" bestFit="1" customWidth="1"/>
    <col min="15374" max="15374" width="9.140625" style="145"/>
    <col min="15375" max="15375" width="12.140625" style="145" customWidth="1"/>
    <col min="15376" max="15617" width="9.140625" style="145"/>
    <col min="15618" max="15618" width="4" style="145" customWidth="1"/>
    <col min="15619" max="15619" width="10.5703125" style="145" customWidth="1"/>
    <col min="15620" max="15620" width="11.140625" style="145" customWidth="1"/>
    <col min="15621" max="15621" width="8.7109375" style="145" customWidth="1"/>
    <col min="15622" max="15622" width="8" style="145" customWidth="1"/>
    <col min="15623" max="15623" width="10.28515625" style="145" customWidth="1"/>
    <col min="15624" max="15624" width="7.140625" style="145" customWidth="1"/>
    <col min="15625" max="15625" width="6.85546875" style="145" customWidth="1"/>
    <col min="15626" max="15626" width="11.7109375" style="145" customWidth="1"/>
    <col min="15627" max="15627" width="11.5703125" style="145" customWidth="1"/>
    <col min="15628" max="15628" width="9.140625" style="145"/>
    <col min="15629" max="15629" width="10.5703125" style="145" bestFit="1" customWidth="1"/>
    <col min="15630" max="15630" width="9.140625" style="145"/>
    <col min="15631" max="15631" width="12.140625" style="145" customWidth="1"/>
    <col min="15632" max="15873" width="9.140625" style="145"/>
    <col min="15874" max="15874" width="4" style="145" customWidth="1"/>
    <col min="15875" max="15875" width="10.5703125" style="145" customWidth="1"/>
    <col min="15876" max="15876" width="11.140625" style="145" customWidth="1"/>
    <col min="15877" max="15877" width="8.7109375" style="145" customWidth="1"/>
    <col min="15878" max="15878" width="8" style="145" customWidth="1"/>
    <col min="15879" max="15879" width="10.28515625" style="145" customWidth="1"/>
    <col min="15880" max="15880" width="7.140625" style="145" customWidth="1"/>
    <col min="15881" max="15881" width="6.85546875" style="145" customWidth="1"/>
    <col min="15882" max="15882" width="11.7109375" style="145" customWidth="1"/>
    <col min="15883" max="15883" width="11.5703125" style="145" customWidth="1"/>
    <col min="15884" max="15884" width="9.140625" style="145"/>
    <col min="15885" max="15885" width="10.5703125" style="145" bestFit="1" customWidth="1"/>
    <col min="15886" max="15886" width="9.140625" style="145"/>
    <col min="15887" max="15887" width="12.140625" style="145" customWidth="1"/>
    <col min="15888" max="16129" width="9.140625" style="145"/>
    <col min="16130" max="16130" width="4" style="145" customWidth="1"/>
    <col min="16131" max="16131" width="10.5703125" style="145" customWidth="1"/>
    <col min="16132" max="16132" width="11.140625" style="145" customWidth="1"/>
    <col min="16133" max="16133" width="8.7109375" style="145" customWidth="1"/>
    <col min="16134" max="16134" width="8" style="145" customWidth="1"/>
    <col min="16135" max="16135" width="10.28515625" style="145" customWidth="1"/>
    <col min="16136" max="16136" width="7.140625" style="145" customWidth="1"/>
    <col min="16137" max="16137" width="6.85546875" style="145" customWidth="1"/>
    <col min="16138" max="16138" width="11.7109375" style="145" customWidth="1"/>
    <col min="16139" max="16139" width="11.5703125" style="145" customWidth="1"/>
    <col min="16140" max="16140" width="9.140625" style="145"/>
    <col min="16141" max="16141" width="10.5703125" style="145" bestFit="1" customWidth="1"/>
    <col min="16142" max="16142" width="9.140625" style="145"/>
    <col min="16143" max="16143" width="12.140625" style="145" customWidth="1"/>
    <col min="16144" max="16384" width="9.140625" style="145"/>
  </cols>
  <sheetData>
    <row r="1" spans="1:16" x14ac:dyDescent="0.25">
      <c r="A1" s="1142" t="s">
        <v>702</v>
      </c>
      <c r="B1" s="1142"/>
      <c r="C1" s="1142"/>
      <c r="D1" s="1142"/>
      <c r="E1" s="1142"/>
      <c r="F1" s="1142"/>
      <c r="G1" s="1142"/>
      <c r="H1" s="1142"/>
      <c r="I1" s="1142"/>
      <c r="J1" s="1142"/>
      <c r="K1" s="155"/>
    </row>
    <row r="3" spans="1:16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1143"/>
      <c r="J3" s="1143"/>
      <c r="K3" s="201"/>
    </row>
    <row r="4" spans="1:16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1170"/>
      <c r="J4" s="1170"/>
      <c r="K4" s="202"/>
    </row>
    <row r="6" spans="1:16" x14ac:dyDescent="0.25">
      <c r="A6" s="1155" t="s">
        <v>703</v>
      </c>
      <c r="B6" s="1155"/>
      <c r="C6" s="1155"/>
      <c r="D6" s="1155"/>
      <c r="E6" s="1155"/>
      <c r="F6" s="1155"/>
      <c r="G6" s="1155"/>
      <c r="H6" s="1155"/>
      <c r="I6" s="1155"/>
      <c r="J6" s="1155"/>
      <c r="K6" s="177"/>
    </row>
    <row r="7" spans="1:16" ht="24" x14ac:dyDescent="0.25">
      <c r="A7" s="607" t="s">
        <v>258</v>
      </c>
      <c r="B7" s="1159" t="s">
        <v>492</v>
      </c>
      <c r="C7" s="1159"/>
      <c r="D7" s="161" t="s">
        <v>343</v>
      </c>
      <c r="E7" s="162" t="s">
        <v>389</v>
      </c>
      <c r="F7" s="607" t="s">
        <v>445</v>
      </c>
      <c r="G7" s="1160" t="s">
        <v>489</v>
      </c>
      <c r="H7" s="1161"/>
      <c r="I7" s="607" t="s">
        <v>467</v>
      </c>
      <c r="J7" s="607" t="s">
        <v>402</v>
      </c>
    </row>
    <row r="8" spans="1:16" x14ac:dyDescent="0.25">
      <c r="A8" s="605">
        <v>1</v>
      </c>
      <c r="B8" s="1162">
        <v>2</v>
      </c>
      <c r="C8" s="1162"/>
      <c r="D8" s="605">
        <v>3</v>
      </c>
      <c r="E8" s="605">
        <v>4</v>
      </c>
      <c r="F8" s="605">
        <v>5</v>
      </c>
      <c r="G8" s="1165">
        <v>6</v>
      </c>
      <c r="H8" s="1166"/>
      <c r="I8" s="608">
        <v>7</v>
      </c>
      <c r="J8" s="610">
        <v>8</v>
      </c>
    </row>
    <row r="9" spans="1:16" ht="63.75" customHeight="1" x14ac:dyDescent="0.25">
      <c r="A9" s="610">
        <v>1</v>
      </c>
      <c r="B9" s="1167" t="s">
        <v>707</v>
      </c>
      <c r="C9" s="1167"/>
      <c r="D9" s="607">
        <v>297</v>
      </c>
      <c r="E9" s="606"/>
      <c r="F9" s="607"/>
      <c r="G9" s="1168">
        <v>200000</v>
      </c>
      <c r="H9" s="1169"/>
      <c r="I9" s="609">
        <f>F9*G9</f>
        <v>0</v>
      </c>
      <c r="J9" s="222">
        <f>ROUND(I9/1000,1)</f>
        <v>0</v>
      </c>
      <c r="K9" s="179"/>
      <c r="M9" s="180"/>
    </row>
    <row r="10" spans="1:16" x14ac:dyDescent="0.25">
      <c r="A10" s="1146" t="s">
        <v>704</v>
      </c>
      <c r="B10" s="1147"/>
      <c r="C10" s="1147"/>
      <c r="D10" s="1147"/>
      <c r="E10" s="1147"/>
      <c r="F10" s="1147"/>
      <c r="G10" s="1147"/>
      <c r="H10" s="1252"/>
      <c r="I10" s="814">
        <f>I9</f>
        <v>0</v>
      </c>
      <c r="J10" s="276">
        <f>SUM(J9:J9)</f>
        <v>0</v>
      </c>
      <c r="M10" s="181"/>
    </row>
    <row r="11" spans="1:16" x14ac:dyDescent="0.25">
      <c r="M11" s="181"/>
    </row>
    <row r="12" spans="1:16" x14ac:dyDescent="0.25">
      <c r="M12" s="146"/>
      <c r="N12" s="146"/>
      <c r="O12" s="185"/>
      <c r="P12" s="183"/>
    </row>
    <row r="13" spans="1:16" x14ac:dyDescent="0.25">
      <c r="B13" s="1150" t="s">
        <v>397</v>
      </c>
      <c r="C13" s="1150"/>
      <c r="D13" s="1150"/>
      <c r="E13" s="168"/>
      <c r="F13" s="1151"/>
      <c r="G13" s="1151"/>
      <c r="H13" s="168"/>
      <c r="I13" s="1151" t="str">
        <f>рВДЛ!G32</f>
        <v>М.В. Златова</v>
      </c>
      <c r="J13" s="1151"/>
      <c r="M13" s="146"/>
      <c r="N13" s="146"/>
      <c r="O13" s="146"/>
      <c r="P13" s="146"/>
    </row>
    <row r="14" spans="1:16" x14ac:dyDescent="0.25">
      <c r="B14" s="1148" t="s">
        <v>329</v>
      </c>
      <c r="C14" s="1148"/>
      <c r="D14" s="1148"/>
      <c r="E14" s="169"/>
      <c r="F14" s="1148" t="s">
        <v>330</v>
      </c>
      <c r="G14" s="1148"/>
      <c r="H14" s="169"/>
      <c r="I14" s="1149" t="s">
        <v>331</v>
      </c>
      <c r="J14" s="1149"/>
    </row>
    <row r="15" spans="1:16" x14ac:dyDescent="0.25">
      <c r="B15" s="1150" t="str">
        <f>рВДЛ!A34</f>
        <v>Исполнитель: финансист</v>
      </c>
      <c r="C15" s="1150"/>
      <c r="D15" s="1150"/>
      <c r="E15" s="168"/>
      <c r="F15" s="1151"/>
      <c r="G15" s="1151"/>
      <c r="H15" s="168"/>
      <c r="I15" s="1151" t="str">
        <f>рВДЛ!G34</f>
        <v>Е.Н. Рыбалка</v>
      </c>
      <c r="J15" s="1151"/>
    </row>
    <row r="16" spans="1:16" x14ac:dyDescent="0.25">
      <c r="B16" s="1148" t="s">
        <v>329</v>
      </c>
      <c r="C16" s="1148"/>
      <c r="D16" s="1148"/>
      <c r="E16" s="169"/>
      <c r="F16" s="1148" t="s">
        <v>330</v>
      </c>
      <c r="G16" s="1148"/>
      <c r="H16" s="169"/>
      <c r="I16" s="1149" t="s">
        <v>331</v>
      </c>
      <c r="J16" s="1149"/>
    </row>
  </sheetData>
  <mergeCells count="23">
    <mergeCell ref="B13:D13"/>
    <mergeCell ref="F13:G13"/>
    <mergeCell ref="I13:J13"/>
    <mergeCell ref="A1:J1"/>
    <mergeCell ref="A3:J3"/>
    <mergeCell ref="A4:J4"/>
    <mergeCell ref="A6:J6"/>
    <mergeCell ref="B7:C7"/>
    <mergeCell ref="G7:H7"/>
    <mergeCell ref="B8:C8"/>
    <mergeCell ref="G8:H8"/>
    <mergeCell ref="B9:C9"/>
    <mergeCell ref="G9:H9"/>
    <mergeCell ref="A10:H10"/>
    <mergeCell ref="B16:D16"/>
    <mergeCell ref="F16:G16"/>
    <mergeCell ref="I16:J16"/>
    <mergeCell ref="B14:D14"/>
    <mergeCell ref="F14:G14"/>
    <mergeCell ref="I14:J14"/>
    <mergeCell ref="B15:D15"/>
    <mergeCell ref="F15:G15"/>
    <mergeCell ref="I15:J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T166"/>
  <sheetViews>
    <sheetView topLeftCell="A26" workbookViewId="0">
      <selection activeCell="J28" sqref="J28"/>
    </sheetView>
  </sheetViews>
  <sheetFormatPr defaultRowHeight="12.75" x14ac:dyDescent="0.2"/>
  <cols>
    <col min="1" max="1" width="34.85546875" style="56" customWidth="1"/>
    <col min="2" max="4" width="4.7109375" style="56" customWidth="1"/>
    <col min="5" max="5" width="13.140625" style="56" customWidth="1"/>
    <col min="6" max="6" width="4.7109375" style="56" customWidth="1"/>
    <col min="7" max="7" width="11.28515625" style="57" customWidth="1"/>
    <col min="8" max="9" width="9.85546875" style="56" customWidth="1"/>
    <col min="10" max="10" width="11.7109375" style="615" customWidth="1"/>
    <col min="11" max="11" width="17.85546875" style="624" customWidth="1"/>
    <col min="12" max="13" width="17.85546875" style="56" customWidth="1"/>
    <col min="14" max="14" width="9.28515625" style="56" bestFit="1" customWidth="1"/>
    <col min="15" max="16" width="9.140625" style="56"/>
    <col min="17" max="17" width="9.5703125" style="56" bestFit="1" customWidth="1"/>
    <col min="18" max="18" width="10.85546875" style="56" bestFit="1" customWidth="1"/>
    <col min="19" max="19" width="11.42578125" style="56" customWidth="1"/>
    <col min="20" max="256" width="9.140625" style="56"/>
    <col min="257" max="257" width="34.85546875" style="56" customWidth="1"/>
    <col min="258" max="260" width="4.7109375" style="56" customWidth="1"/>
    <col min="261" max="261" width="13.140625" style="56" customWidth="1"/>
    <col min="262" max="262" width="4.7109375" style="56" customWidth="1"/>
    <col min="263" max="263" width="11.28515625" style="56" customWidth="1"/>
    <col min="264" max="266" width="9.85546875" style="56" customWidth="1"/>
    <col min="267" max="267" width="25.28515625" style="56" customWidth="1"/>
    <col min="268" max="268" width="9.140625" style="56"/>
    <col min="269" max="269" width="11.140625" style="56" customWidth="1"/>
    <col min="270" max="270" width="9.28515625" style="56" bestFit="1" customWidth="1"/>
    <col min="271" max="272" width="9.140625" style="56"/>
    <col min="273" max="273" width="9.5703125" style="56" bestFit="1" customWidth="1"/>
    <col min="274" max="274" width="10.85546875" style="56" bestFit="1" customWidth="1"/>
    <col min="275" max="275" width="11.42578125" style="56" customWidth="1"/>
    <col min="276" max="512" width="9.140625" style="56"/>
    <col min="513" max="513" width="34.85546875" style="56" customWidth="1"/>
    <col min="514" max="516" width="4.7109375" style="56" customWidth="1"/>
    <col min="517" max="517" width="13.140625" style="56" customWidth="1"/>
    <col min="518" max="518" width="4.7109375" style="56" customWidth="1"/>
    <col min="519" max="519" width="11.28515625" style="56" customWidth="1"/>
    <col min="520" max="522" width="9.85546875" style="56" customWidth="1"/>
    <col min="523" max="523" width="25.28515625" style="56" customWidth="1"/>
    <col min="524" max="524" width="9.140625" style="56"/>
    <col min="525" max="525" width="11.140625" style="56" customWidth="1"/>
    <col min="526" max="526" width="9.28515625" style="56" bestFit="1" customWidth="1"/>
    <col min="527" max="528" width="9.140625" style="56"/>
    <col min="529" max="529" width="9.5703125" style="56" bestFit="1" customWidth="1"/>
    <col min="530" max="530" width="10.85546875" style="56" bestFit="1" customWidth="1"/>
    <col min="531" max="531" width="11.42578125" style="56" customWidth="1"/>
    <col min="532" max="768" width="9.140625" style="56"/>
    <col min="769" max="769" width="34.85546875" style="56" customWidth="1"/>
    <col min="770" max="772" width="4.7109375" style="56" customWidth="1"/>
    <col min="773" max="773" width="13.140625" style="56" customWidth="1"/>
    <col min="774" max="774" width="4.7109375" style="56" customWidth="1"/>
    <col min="775" max="775" width="11.28515625" style="56" customWidth="1"/>
    <col min="776" max="778" width="9.85546875" style="56" customWidth="1"/>
    <col min="779" max="779" width="25.28515625" style="56" customWidth="1"/>
    <col min="780" max="780" width="9.140625" style="56"/>
    <col min="781" max="781" width="11.140625" style="56" customWidth="1"/>
    <col min="782" max="782" width="9.28515625" style="56" bestFit="1" customWidth="1"/>
    <col min="783" max="784" width="9.140625" style="56"/>
    <col min="785" max="785" width="9.5703125" style="56" bestFit="1" customWidth="1"/>
    <col min="786" max="786" width="10.85546875" style="56" bestFit="1" customWidth="1"/>
    <col min="787" max="787" width="11.42578125" style="56" customWidth="1"/>
    <col min="788" max="1024" width="9.140625" style="56"/>
    <col min="1025" max="1025" width="34.85546875" style="56" customWidth="1"/>
    <col min="1026" max="1028" width="4.7109375" style="56" customWidth="1"/>
    <col min="1029" max="1029" width="13.140625" style="56" customWidth="1"/>
    <col min="1030" max="1030" width="4.7109375" style="56" customWidth="1"/>
    <col min="1031" max="1031" width="11.28515625" style="56" customWidth="1"/>
    <col min="1032" max="1034" width="9.85546875" style="56" customWidth="1"/>
    <col min="1035" max="1035" width="25.28515625" style="56" customWidth="1"/>
    <col min="1036" max="1036" width="9.140625" style="56"/>
    <col min="1037" max="1037" width="11.140625" style="56" customWidth="1"/>
    <col min="1038" max="1038" width="9.28515625" style="56" bestFit="1" customWidth="1"/>
    <col min="1039" max="1040" width="9.140625" style="56"/>
    <col min="1041" max="1041" width="9.5703125" style="56" bestFit="1" customWidth="1"/>
    <col min="1042" max="1042" width="10.85546875" style="56" bestFit="1" customWidth="1"/>
    <col min="1043" max="1043" width="11.42578125" style="56" customWidth="1"/>
    <col min="1044" max="1280" width="9.140625" style="56"/>
    <col min="1281" max="1281" width="34.85546875" style="56" customWidth="1"/>
    <col min="1282" max="1284" width="4.7109375" style="56" customWidth="1"/>
    <col min="1285" max="1285" width="13.140625" style="56" customWidth="1"/>
    <col min="1286" max="1286" width="4.7109375" style="56" customWidth="1"/>
    <col min="1287" max="1287" width="11.28515625" style="56" customWidth="1"/>
    <col min="1288" max="1290" width="9.85546875" style="56" customWidth="1"/>
    <col min="1291" max="1291" width="25.28515625" style="56" customWidth="1"/>
    <col min="1292" max="1292" width="9.140625" style="56"/>
    <col min="1293" max="1293" width="11.140625" style="56" customWidth="1"/>
    <col min="1294" max="1294" width="9.28515625" style="56" bestFit="1" customWidth="1"/>
    <col min="1295" max="1296" width="9.140625" style="56"/>
    <col min="1297" max="1297" width="9.5703125" style="56" bestFit="1" customWidth="1"/>
    <col min="1298" max="1298" width="10.85546875" style="56" bestFit="1" customWidth="1"/>
    <col min="1299" max="1299" width="11.42578125" style="56" customWidth="1"/>
    <col min="1300" max="1536" width="9.140625" style="56"/>
    <col min="1537" max="1537" width="34.85546875" style="56" customWidth="1"/>
    <col min="1538" max="1540" width="4.7109375" style="56" customWidth="1"/>
    <col min="1541" max="1541" width="13.140625" style="56" customWidth="1"/>
    <col min="1542" max="1542" width="4.7109375" style="56" customWidth="1"/>
    <col min="1543" max="1543" width="11.28515625" style="56" customWidth="1"/>
    <col min="1544" max="1546" width="9.85546875" style="56" customWidth="1"/>
    <col min="1547" max="1547" width="25.28515625" style="56" customWidth="1"/>
    <col min="1548" max="1548" width="9.140625" style="56"/>
    <col min="1549" max="1549" width="11.140625" style="56" customWidth="1"/>
    <col min="1550" max="1550" width="9.28515625" style="56" bestFit="1" customWidth="1"/>
    <col min="1551" max="1552" width="9.140625" style="56"/>
    <col min="1553" max="1553" width="9.5703125" style="56" bestFit="1" customWidth="1"/>
    <col min="1554" max="1554" width="10.85546875" style="56" bestFit="1" customWidth="1"/>
    <col min="1555" max="1555" width="11.42578125" style="56" customWidth="1"/>
    <col min="1556" max="1792" width="9.140625" style="56"/>
    <col min="1793" max="1793" width="34.85546875" style="56" customWidth="1"/>
    <col min="1794" max="1796" width="4.7109375" style="56" customWidth="1"/>
    <col min="1797" max="1797" width="13.140625" style="56" customWidth="1"/>
    <col min="1798" max="1798" width="4.7109375" style="56" customWidth="1"/>
    <col min="1799" max="1799" width="11.28515625" style="56" customWidth="1"/>
    <col min="1800" max="1802" width="9.85546875" style="56" customWidth="1"/>
    <col min="1803" max="1803" width="25.28515625" style="56" customWidth="1"/>
    <col min="1804" max="1804" width="9.140625" style="56"/>
    <col min="1805" max="1805" width="11.140625" style="56" customWidth="1"/>
    <col min="1806" max="1806" width="9.28515625" style="56" bestFit="1" customWidth="1"/>
    <col min="1807" max="1808" width="9.140625" style="56"/>
    <col min="1809" max="1809" width="9.5703125" style="56" bestFit="1" customWidth="1"/>
    <col min="1810" max="1810" width="10.85546875" style="56" bestFit="1" customWidth="1"/>
    <col min="1811" max="1811" width="11.42578125" style="56" customWidth="1"/>
    <col min="1812" max="2048" width="9.140625" style="56"/>
    <col min="2049" max="2049" width="34.85546875" style="56" customWidth="1"/>
    <col min="2050" max="2052" width="4.7109375" style="56" customWidth="1"/>
    <col min="2053" max="2053" width="13.140625" style="56" customWidth="1"/>
    <col min="2054" max="2054" width="4.7109375" style="56" customWidth="1"/>
    <col min="2055" max="2055" width="11.28515625" style="56" customWidth="1"/>
    <col min="2056" max="2058" width="9.85546875" style="56" customWidth="1"/>
    <col min="2059" max="2059" width="25.28515625" style="56" customWidth="1"/>
    <col min="2060" max="2060" width="9.140625" style="56"/>
    <col min="2061" max="2061" width="11.140625" style="56" customWidth="1"/>
    <col min="2062" max="2062" width="9.28515625" style="56" bestFit="1" customWidth="1"/>
    <col min="2063" max="2064" width="9.140625" style="56"/>
    <col min="2065" max="2065" width="9.5703125" style="56" bestFit="1" customWidth="1"/>
    <col min="2066" max="2066" width="10.85546875" style="56" bestFit="1" customWidth="1"/>
    <col min="2067" max="2067" width="11.42578125" style="56" customWidth="1"/>
    <col min="2068" max="2304" width="9.140625" style="56"/>
    <col min="2305" max="2305" width="34.85546875" style="56" customWidth="1"/>
    <col min="2306" max="2308" width="4.7109375" style="56" customWidth="1"/>
    <col min="2309" max="2309" width="13.140625" style="56" customWidth="1"/>
    <col min="2310" max="2310" width="4.7109375" style="56" customWidth="1"/>
    <col min="2311" max="2311" width="11.28515625" style="56" customWidth="1"/>
    <col min="2312" max="2314" width="9.85546875" style="56" customWidth="1"/>
    <col min="2315" max="2315" width="25.28515625" style="56" customWidth="1"/>
    <col min="2316" max="2316" width="9.140625" style="56"/>
    <col min="2317" max="2317" width="11.140625" style="56" customWidth="1"/>
    <col min="2318" max="2318" width="9.28515625" style="56" bestFit="1" customWidth="1"/>
    <col min="2319" max="2320" width="9.140625" style="56"/>
    <col min="2321" max="2321" width="9.5703125" style="56" bestFit="1" customWidth="1"/>
    <col min="2322" max="2322" width="10.85546875" style="56" bestFit="1" customWidth="1"/>
    <col min="2323" max="2323" width="11.42578125" style="56" customWidth="1"/>
    <col min="2324" max="2560" width="9.140625" style="56"/>
    <col min="2561" max="2561" width="34.85546875" style="56" customWidth="1"/>
    <col min="2562" max="2564" width="4.7109375" style="56" customWidth="1"/>
    <col min="2565" max="2565" width="13.140625" style="56" customWidth="1"/>
    <col min="2566" max="2566" width="4.7109375" style="56" customWidth="1"/>
    <col min="2567" max="2567" width="11.28515625" style="56" customWidth="1"/>
    <col min="2568" max="2570" width="9.85546875" style="56" customWidth="1"/>
    <col min="2571" max="2571" width="25.28515625" style="56" customWidth="1"/>
    <col min="2572" max="2572" width="9.140625" style="56"/>
    <col min="2573" max="2573" width="11.140625" style="56" customWidth="1"/>
    <col min="2574" max="2574" width="9.28515625" style="56" bestFit="1" customWidth="1"/>
    <col min="2575" max="2576" width="9.140625" style="56"/>
    <col min="2577" max="2577" width="9.5703125" style="56" bestFit="1" customWidth="1"/>
    <col min="2578" max="2578" width="10.85546875" style="56" bestFit="1" customWidth="1"/>
    <col min="2579" max="2579" width="11.42578125" style="56" customWidth="1"/>
    <col min="2580" max="2816" width="9.140625" style="56"/>
    <col min="2817" max="2817" width="34.85546875" style="56" customWidth="1"/>
    <col min="2818" max="2820" width="4.7109375" style="56" customWidth="1"/>
    <col min="2821" max="2821" width="13.140625" style="56" customWidth="1"/>
    <col min="2822" max="2822" width="4.7109375" style="56" customWidth="1"/>
    <col min="2823" max="2823" width="11.28515625" style="56" customWidth="1"/>
    <col min="2824" max="2826" width="9.85546875" style="56" customWidth="1"/>
    <col min="2827" max="2827" width="25.28515625" style="56" customWidth="1"/>
    <col min="2828" max="2828" width="9.140625" style="56"/>
    <col min="2829" max="2829" width="11.140625" style="56" customWidth="1"/>
    <col min="2830" max="2830" width="9.28515625" style="56" bestFit="1" customWidth="1"/>
    <col min="2831" max="2832" width="9.140625" style="56"/>
    <col min="2833" max="2833" width="9.5703125" style="56" bestFit="1" customWidth="1"/>
    <col min="2834" max="2834" width="10.85546875" style="56" bestFit="1" customWidth="1"/>
    <col min="2835" max="2835" width="11.42578125" style="56" customWidth="1"/>
    <col min="2836" max="3072" width="9.140625" style="56"/>
    <col min="3073" max="3073" width="34.85546875" style="56" customWidth="1"/>
    <col min="3074" max="3076" width="4.7109375" style="56" customWidth="1"/>
    <col min="3077" max="3077" width="13.140625" style="56" customWidth="1"/>
    <col min="3078" max="3078" width="4.7109375" style="56" customWidth="1"/>
    <col min="3079" max="3079" width="11.28515625" style="56" customWidth="1"/>
    <col min="3080" max="3082" width="9.85546875" style="56" customWidth="1"/>
    <col min="3083" max="3083" width="25.28515625" style="56" customWidth="1"/>
    <col min="3084" max="3084" width="9.140625" style="56"/>
    <col min="3085" max="3085" width="11.140625" style="56" customWidth="1"/>
    <col min="3086" max="3086" width="9.28515625" style="56" bestFit="1" customWidth="1"/>
    <col min="3087" max="3088" width="9.140625" style="56"/>
    <col min="3089" max="3089" width="9.5703125" style="56" bestFit="1" customWidth="1"/>
    <col min="3090" max="3090" width="10.85546875" style="56" bestFit="1" customWidth="1"/>
    <col min="3091" max="3091" width="11.42578125" style="56" customWidth="1"/>
    <col min="3092" max="3328" width="9.140625" style="56"/>
    <col min="3329" max="3329" width="34.85546875" style="56" customWidth="1"/>
    <col min="3330" max="3332" width="4.7109375" style="56" customWidth="1"/>
    <col min="3333" max="3333" width="13.140625" style="56" customWidth="1"/>
    <col min="3334" max="3334" width="4.7109375" style="56" customWidth="1"/>
    <col min="3335" max="3335" width="11.28515625" style="56" customWidth="1"/>
    <col min="3336" max="3338" width="9.85546875" style="56" customWidth="1"/>
    <col min="3339" max="3339" width="25.28515625" style="56" customWidth="1"/>
    <col min="3340" max="3340" width="9.140625" style="56"/>
    <col min="3341" max="3341" width="11.140625" style="56" customWidth="1"/>
    <col min="3342" max="3342" width="9.28515625" style="56" bestFit="1" customWidth="1"/>
    <col min="3343" max="3344" width="9.140625" style="56"/>
    <col min="3345" max="3345" width="9.5703125" style="56" bestFit="1" customWidth="1"/>
    <col min="3346" max="3346" width="10.85546875" style="56" bestFit="1" customWidth="1"/>
    <col min="3347" max="3347" width="11.42578125" style="56" customWidth="1"/>
    <col min="3348" max="3584" width="9.140625" style="56"/>
    <col min="3585" max="3585" width="34.85546875" style="56" customWidth="1"/>
    <col min="3586" max="3588" width="4.7109375" style="56" customWidth="1"/>
    <col min="3589" max="3589" width="13.140625" style="56" customWidth="1"/>
    <col min="3590" max="3590" width="4.7109375" style="56" customWidth="1"/>
    <col min="3591" max="3591" width="11.28515625" style="56" customWidth="1"/>
    <col min="3592" max="3594" width="9.85546875" style="56" customWidth="1"/>
    <col min="3595" max="3595" width="25.28515625" style="56" customWidth="1"/>
    <col min="3596" max="3596" width="9.140625" style="56"/>
    <col min="3597" max="3597" width="11.140625" style="56" customWidth="1"/>
    <col min="3598" max="3598" width="9.28515625" style="56" bestFit="1" customWidth="1"/>
    <col min="3599" max="3600" width="9.140625" style="56"/>
    <col min="3601" max="3601" width="9.5703125" style="56" bestFit="1" customWidth="1"/>
    <col min="3602" max="3602" width="10.85546875" style="56" bestFit="1" customWidth="1"/>
    <col min="3603" max="3603" width="11.42578125" style="56" customWidth="1"/>
    <col min="3604" max="3840" width="9.140625" style="56"/>
    <col min="3841" max="3841" width="34.85546875" style="56" customWidth="1"/>
    <col min="3842" max="3844" width="4.7109375" style="56" customWidth="1"/>
    <col min="3845" max="3845" width="13.140625" style="56" customWidth="1"/>
    <col min="3846" max="3846" width="4.7109375" style="56" customWidth="1"/>
    <col min="3847" max="3847" width="11.28515625" style="56" customWidth="1"/>
    <col min="3848" max="3850" width="9.85546875" style="56" customWidth="1"/>
    <col min="3851" max="3851" width="25.28515625" style="56" customWidth="1"/>
    <col min="3852" max="3852" width="9.140625" style="56"/>
    <col min="3853" max="3853" width="11.140625" style="56" customWidth="1"/>
    <col min="3854" max="3854" width="9.28515625" style="56" bestFit="1" customWidth="1"/>
    <col min="3855" max="3856" width="9.140625" style="56"/>
    <col min="3857" max="3857" width="9.5703125" style="56" bestFit="1" customWidth="1"/>
    <col min="3858" max="3858" width="10.85546875" style="56" bestFit="1" customWidth="1"/>
    <col min="3859" max="3859" width="11.42578125" style="56" customWidth="1"/>
    <col min="3860" max="4096" width="9.140625" style="56"/>
    <col min="4097" max="4097" width="34.85546875" style="56" customWidth="1"/>
    <col min="4098" max="4100" width="4.7109375" style="56" customWidth="1"/>
    <col min="4101" max="4101" width="13.140625" style="56" customWidth="1"/>
    <col min="4102" max="4102" width="4.7109375" style="56" customWidth="1"/>
    <col min="4103" max="4103" width="11.28515625" style="56" customWidth="1"/>
    <col min="4104" max="4106" width="9.85546875" style="56" customWidth="1"/>
    <col min="4107" max="4107" width="25.28515625" style="56" customWidth="1"/>
    <col min="4108" max="4108" width="9.140625" style="56"/>
    <col min="4109" max="4109" width="11.140625" style="56" customWidth="1"/>
    <col min="4110" max="4110" width="9.28515625" style="56" bestFit="1" customWidth="1"/>
    <col min="4111" max="4112" width="9.140625" style="56"/>
    <col min="4113" max="4113" width="9.5703125" style="56" bestFit="1" customWidth="1"/>
    <col min="4114" max="4114" width="10.85546875" style="56" bestFit="1" customWidth="1"/>
    <col min="4115" max="4115" width="11.42578125" style="56" customWidth="1"/>
    <col min="4116" max="4352" width="9.140625" style="56"/>
    <col min="4353" max="4353" width="34.85546875" style="56" customWidth="1"/>
    <col min="4354" max="4356" width="4.7109375" style="56" customWidth="1"/>
    <col min="4357" max="4357" width="13.140625" style="56" customWidth="1"/>
    <col min="4358" max="4358" width="4.7109375" style="56" customWidth="1"/>
    <col min="4359" max="4359" width="11.28515625" style="56" customWidth="1"/>
    <col min="4360" max="4362" width="9.85546875" style="56" customWidth="1"/>
    <col min="4363" max="4363" width="25.28515625" style="56" customWidth="1"/>
    <col min="4364" max="4364" width="9.140625" style="56"/>
    <col min="4365" max="4365" width="11.140625" style="56" customWidth="1"/>
    <col min="4366" max="4366" width="9.28515625" style="56" bestFit="1" customWidth="1"/>
    <col min="4367" max="4368" width="9.140625" style="56"/>
    <col min="4369" max="4369" width="9.5703125" style="56" bestFit="1" customWidth="1"/>
    <col min="4370" max="4370" width="10.85546875" style="56" bestFit="1" customWidth="1"/>
    <col min="4371" max="4371" width="11.42578125" style="56" customWidth="1"/>
    <col min="4372" max="4608" width="9.140625" style="56"/>
    <col min="4609" max="4609" width="34.85546875" style="56" customWidth="1"/>
    <col min="4610" max="4612" width="4.7109375" style="56" customWidth="1"/>
    <col min="4613" max="4613" width="13.140625" style="56" customWidth="1"/>
    <col min="4614" max="4614" width="4.7109375" style="56" customWidth="1"/>
    <col min="4615" max="4615" width="11.28515625" style="56" customWidth="1"/>
    <col min="4616" max="4618" width="9.85546875" style="56" customWidth="1"/>
    <col min="4619" max="4619" width="25.28515625" style="56" customWidth="1"/>
    <col min="4620" max="4620" width="9.140625" style="56"/>
    <col min="4621" max="4621" width="11.140625" style="56" customWidth="1"/>
    <col min="4622" max="4622" width="9.28515625" style="56" bestFit="1" customWidth="1"/>
    <col min="4623" max="4624" width="9.140625" style="56"/>
    <col min="4625" max="4625" width="9.5703125" style="56" bestFit="1" customWidth="1"/>
    <col min="4626" max="4626" width="10.85546875" style="56" bestFit="1" customWidth="1"/>
    <col min="4627" max="4627" width="11.42578125" style="56" customWidth="1"/>
    <col min="4628" max="4864" width="9.140625" style="56"/>
    <col min="4865" max="4865" width="34.85546875" style="56" customWidth="1"/>
    <col min="4866" max="4868" width="4.7109375" style="56" customWidth="1"/>
    <col min="4869" max="4869" width="13.140625" style="56" customWidth="1"/>
    <col min="4870" max="4870" width="4.7109375" style="56" customWidth="1"/>
    <col min="4871" max="4871" width="11.28515625" style="56" customWidth="1"/>
    <col min="4872" max="4874" width="9.85546875" style="56" customWidth="1"/>
    <col min="4875" max="4875" width="25.28515625" style="56" customWidth="1"/>
    <col min="4876" max="4876" width="9.140625" style="56"/>
    <col min="4877" max="4877" width="11.140625" style="56" customWidth="1"/>
    <col min="4878" max="4878" width="9.28515625" style="56" bestFit="1" customWidth="1"/>
    <col min="4879" max="4880" width="9.140625" style="56"/>
    <col min="4881" max="4881" width="9.5703125" style="56" bestFit="1" customWidth="1"/>
    <col min="4882" max="4882" width="10.85546875" style="56" bestFit="1" customWidth="1"/>
    <col min="4883" max="4883" width="11.42578125" style="56" customWidth="1"/>
    <col min="4884" max="5120" width="9.140625" style="56"/>
    <col min="5121" max="5121" width="34.85546875" style="56" customWidth="1"/>
    <col min="5122" max="5124" width="4.7109375" style="56" customWidth="1"/>
    <col min="5125" max="5125" width="13.140625" style="56" customWidth="1"/>
    <col min="5126" max="5126" width="4.7109375" style="56" customWidth="1"/>
    <col min="5127" max="5127" width="11.28515625" style="56" customWidth="1"/>
    <col min="5128" max="5130" width="9.85546875" style="56" customWidth="1"/>
    <col min="5131" max="5131" width="25.28515625" style="56" customWidth="1"/>
    <col min="5132" max="5132" width="9.140625" style="56"/>
    <col min="5133" max="5133" width="11.140625" style="56" customWidth="1"/>
    <col min="5134" max="5134" width="9.28515625" style="56" bestFit="1" customWidth="1"/>
    <col min="5135" max="5136" width="9.140625" style="56"/>
    <col min="5137" max="5137" width="9.5703125" style="56" bestFit="1" customWidth="1"/>
    <col min="5138" max="5138" width="10.85546875" style="56" bestFit="1" customWidth="1"/>
    <col min="5139" max="5139" width="11.42578125" style="56" customWidth="1"/>
    <col min="5140" max="5376" width="9.140625" style="56"/>
    <col min="5377" max="5377" width="34.85546875" style="56" customWidth="1"/>
    <col min="5378" max="5380" width="4.7109375" style="56" customWidth="1"/>
    <col min="5381" max="5381" width="13.140625" style="56" customWidth="1"/>
    <col min="5382" max="5382" width="4.7109375" style="56" customWidth="1"/>
    <col min="5383" max="5383" width="11.28515625" style="56" customWidth="1"/>
    <col min="5384" max="5386" width="9.85546875" style="56" customWidth="1"/>
    <col min="5387" max="5387" width="25.28515625" style="56" customWidth="1"/>
    <col min="5388" max="5388" width="9.140625" style="56"/>
    <col min="5389" max="5389" width="11.140625" style="56" customWidth="1"/>
    <col min="5390" max="5390" width="9.28515625" style="56" bestFit="1" customWidth="1"/>
    <col min="5391" max="5392" width="9.140625" style="56"/>
    <col min="5393" max="5393" width="9.5703125" style="56" bestFit="1" customWidth="1"/>
    <col min="5394" max="5394" width="10.85546875" style="56" bestFit="1" customWidth="1"/>
    <col min="5395" max="5395" width="11.42578125" style="56" customWidth="1"/>
    <col min="5396" max="5632" width="9.140625" style="56"/>
    <col min="5633" max="5633" width="34.85546875" style="56" customWidth="1"/>
    <col min="5634" max="5636" width="4.7109375" style="56" customWidth="1"/>
    <col min="5637" max="5637" width="13.140625" style="56" customWidth="1"/>
    <col min="5638" max="5638" width="4.7109375" style="56" customWidth="1"/>
    <col min="5639" max="5639" width="11.28515625" style="56" customWidth="1"/>
    <col min="5640" max="5642" width="9.85546875" style="56" customWidth="1"/>
    <col min="5643" max="5643" width="25.28515625" style="56" customWidth="1"/>
    <col min="5644" max="5644" width="9.140625" style="56"/>
    <col min="5645" max="5645" width="11.140625" style="56" customWidth="1"/>
    <col min="5646" max="5646" width="9.28515625" style="56" bestFit="1" customWidth="1"/>
    <col min="5647" max="5648" width="9.140625" style="56"/>
    <col min="5649" max="5649" width="9.5703125" style="56" bestFit="1" customWidth="1"/>
    <col min="5650" max="5650" width="10.85546875" style="56" bestFit="1" customWidth="1"/>
    <col min="5651" max="5651" width="11.42578125" style="56" customWidth="1"/>
    <col min="5652" max="5888" width="9.140625" style="56"/>
    <col min="5889" max="5889" width="34.85546875" style="56" customWidth="1"/>
    <col min="5890" max="5892" width="4.7109375" style="56" customWidth="1"/>
    <col min="5893" max="5893" width="13.140625" style="56" customWidth="1"/>
    <col min="5894" max="5894" width="4.7109375" style="56" customWidth="1"/>
    <col min="5895" max="5895" width="11.28515625" style="56" customWidth="1"/>
    <col min="5896" max="5898" width="9.85546875" style="56" customWidth="1"/>
    <col min="5899" max="5899" width="25.28515625" style="56" customWidth="1"/>
    <col min="5900" max="5900" width="9.140625" style="56"/>
    <col min="5901" max="5901" width="11.140625" style="56" customWidth="1"/>
    <col min="5902" max="5902" width="9.28515625" style="56" bestFit="1" customWidth="1"/>
    <col min="5903" max="5904" width="9.140625" style="56"/>
    <col min="5905" max="5905" width="9.5703125" style="56" bestFit="1" customWidth="1"/>
    <col min="5906" max="5906" width="10.85546875" style="56" bestFit="1" customWidth="1"/>
    <col min="5907" max="5907" width="11.42578125" style="56" customWidth="1"/>
    <col min="5908" max="6144" width="9.140625" style="56"/>
    <col min="6145" max="6145" width="34.85546875" style="56" customWidth="1"/>
    <col min="6146" max="6148" width="4.7109375" style="56" customWidth="1"/>
    <col min="6149" max="6149" width="13.140625" style="56" customWidth="1"/>
    <col min="6150" max="6150" width="4.7109375" style="56" customWidth="1"/>
    <col min="6151" max="6151" width="11.28515625" style="56" customWidth="1"/>
    <col min="6152" max="6154" width="9.85546875" style="56" customWidth="1"/>
    <col min="6155" max="6155" width="25.28515625" style="56" customWidth="1"/>
    <col min="6156" max="6156" width="9.140625" style="56"/>
    <col min="6157" max="6157" width="11.140625" style="56" customWidth="1"/>
    <col min="6158" max="6158" width="9.28515625" style="56" bestFit="1" customWidth="1"/>
    <col min="6159" max="6160" width="9.140625" style="56"/>
    <col min="6161" max="6161" width="9.5703125" style="56" bestFit="1" customWidth="1"/>
    <col min="6162" max="6162" width="10.85546875" style="56" bestFit="1" customWidth="1"/>
    <col min="6163" max="6163" width="11.42578125" style="56" customWidth="1"/>
    <col min="6164" max="6400" width="9.140625" style="56"/>
    <col min="6401" max="6401" width="34.85546875" style="56" customWidth="1"/>
    <col min="6402" max="6404" width="4.7109375" style="56" customWidth="1"/>
    <col min="6405" max="6405" width="13.140625" style="56" customWidth="1"/>
    <col min="6406" max="6406" width="4.7109375" style="56" customWidth="1"/>
    <col min="6407" max="6407" width="11.28515625" style="56" customWidth="1"/>
    <col min="6408" max="6410" width="9.85546875" style="56" customWidth="1"/>
    <col min="6411" max="6411" width="25.28515625" style="56" customWidth="1"/>
    <col min="6412" max="6412" width="9.140625" style="56"/>
    <col min="6413" max="6413" width="11.140625" style="56" customWidth="1"/>
    <col min="6414" max="6414" width="9.28515625" style="56" bestFit="1" customWidth="1"/>
    <col min="6415" max="6416" width="9.140625" style="56"/>
    <col min="6417" max="6417" width="9.5703125" style="56" bestFit="1" customWidth="1"/>
    <col min="6418" max="6418" width="10.85546875" style="56" bestFit="1" customWidth="1"/>
    <col min="6419" max="6419" width="11.42578125" style="56" customWidth="1"/>
    <col min="6420" max="6656" width="9.140625" style="56"/>
    <col min="6657" max="6657" width="34.85546875" style="56" customWidth="1"/>
    <col min="6658" max="6660" width="4.7109375" style="56" customWidth="1"/>
    <col min="6661" max="6661" width="13.140625" style="56" customWidth="1"/>
    <col min="6662" max="6662" width="4.7109375" style="56" customWidth="1"/>
    <col min="6663" max="6663" width="11.28515625" style="56" customWidth="1"/>
    <col min="6664" max="6666" width="9.85546875" style="56" customWidth="1"/>
    <col min="6667" max="6667" width="25.28515625" style="56" customWidth="1"/>
    <col min="6668" max="6668" width="9.140625" style="56"/>
    <col min="6669" max="6669" width="11.140625" style="56" customWidth="1"/>
    <col min="6670" max="6670" width="9.28515625" style="56" bestFit="1" customWidth="1"/>
    <col min="6671" max="6672" width="9.140625" style="56"/>
    <col min="6673" max="6673" width="9.5703125" style="56" bestFit="1" customWidth="1"/>
    <col min="6674" max="6674" width="10.85546875" style="56" bestFit="1" customWidth="1"/>
    <col min="6675" max="6675" width="11.42578125" style="56" customWidth="1"/>
    <col min="6676" max="6912" width="9.140625" style="56"/>
    <col min="6913" max="6913" width="34.85546875" style="56" customWidth="1"/>
    <col min="6914" max="6916" width="4.7109375" style="56" customWidth="1"/>
    <col min="6917" max="6917" width="13.140625" style="56" customWidth="1"/>
    <col min="6918" max="6918" width="4.7109375" style="56" customWidth="1"/>
    <col min="6919" max="6919" width="11.28515625" style="56" customWidth="1"/>
    <col min="6920" max="6922" width="9.85546875" style="56" customWidth="1"/>
    <col min="6923" max="6923" width="25.28515625" style="56" customWidth="1"/>
    <col min="6924" max="6924" width="9.140625" style="56"/>
    <col min="6925" max="6925" width="11.140625" style="56" customWidth="1"/>
    <col min="6926" max="6926" width="9.28515625" style="56" bestFit="1" customWidth="1"/>
    <col min="6927" max="6928" width="9.140625" style="56"/>
    <col min="6929" max="6929" width="9.5703125" style="56" bestFit="1" customWidth="1"/>
    <col min="6930" max="6930" width="10.85546875" style="56" bestFit="1" customWidth="1"/>
    <col min="6931" max="6931" width="11.42578125" style="56" customWidth="1"/>
    <col min="6932" max="7168" width="9.140625" style="56"/>
    <col min="7169" max="7169" width="34.85546875" style="56" customWidth="1"/>
    <col min="7170" max="7172" width="4.7109375" style="56" customWidth="1"/>
    <col min="7173" max="7173" width="13.140625" style="56" customWidth="1"/>
    <col min="7174" max="7174" width="4.7109375" style="56" customWidth="1"/>
    <col min="7175" max="7175" width="11.28515625" style="56" customWidth="1"/>
    <col min="7176" max="7178" width="9.85546875" style="56" customWidth="1"/>
    <col min="7179" max="7179" width="25.28515625" style="56" customWidth="1"/>
    <col min="7180" max="7180" width="9.140625" style="56"/>
    <col min="7181" max="7181" width="11.140625" style="56" customWidth="1"/>
    <col min="7182" max="7182" width="9.28515625" style="56" bestFit="1" customWidth="1"/>
    <col min="7183" max="7184" width="9.140625" style="56"/>
    <col min="7185" max="7185" width="9.5703125" style="56" bestFit="1" customWidth="1"/>
    <col min="7186" max="7186" width="10.85546875" style="56" bestFit="1" customWidth="1"/>
    <col min="7187" max="7187" width="11.42578125" style="56" customWidth="1"/>
    <col min="7188" max="7424" width="9.140625" style="56"/>
    <col min="7425" max="7425" width="34.85546875" style="56" customWidth="1"/>
    <col min="7426" max="7428" width="4.7109375" style="56" customWidth="1"/>
    <col min="7429" max="7429" width="13.140625" style="56" customWidth="1"/>
    <col min="7430" max="7430" width="4.7109375" style="56" customWidth="1"/>
    <col min="7431" max="7431" width="11.28515625" style="56" customWidth="1"/>
    <col min="7432" max="7434" width="9.85546875" style="56" customWidth="1"/>
    <col min="7435" max="7435" width="25.28515625" style="56" customWidth="1"/>
    <col min="7436" max="7436" width="9.140625" style="56"/>
    <col min="7437" max="7437" width="11.140625" style="56" customWidth="1"/>
    <col min="7438" max="7438" width="9.28515625" style="56" bestFit="1" customWidth="1"/>
    <col min="7439" max="7440" width="9.140625" style="56"/>
    <col min="7441" max="7441" width="9.5703125" style="56" bestFit="1" customWidth="1"/>
    <col min="7442" max="7442" width="10.85546875" style="56" bestFit="1" customWidth="1"/>
    <col min="7443" max="7443" width="11.42578125" style="56" customWidth="1"/>
    <col min="7444" max="7680" width="9.140625" style="56"/>
    <col min="7681" max="7681" width="34.85546875" style="56" customWidth="1"/>
    <col min="7682" max="7684" width="4.7109375" style="56" customWidth="1"/>
    <col min="7685" max="7685" width="13.140625" style="56" customWidth="1"/>
    <col min="7686" max="7686" width="4.7109375" style="56" customWidth="1"/>
    <col min="7687" max="7687" width="11.28515625" style="56" customWidth="1"/>
    <col min="7688" max="7690" width="9.85546875" style="56" customWidth="1"/>
    <col min="7691" max="7691" width="25.28515625" style="56" customWidth="1"/>
    <col min="7692" max="7692" width="9.140625" style="56"/>
    <col min="7693" max="7693" width="11.140625" style="56" customWidth="1"/>
    <col min="7694" max="7694" width="9.28515625" style="56" bestFit="1" customWidth="1"/>
    <col min="7695" max="7696" width="9.140625" style="56"/>
    <col min="7697" max="7697" width="9.5703125" style="56" bestFit="1" customWidth="1"/>
    <col min="7698" max="7698" width="10.85546875" style="56" bestFit="1" customWidth="1"/>
    <col min="7699" max="7699" width="11.42578125" style="56" customWidth="1"/>
    <col min="7700" max="7936" width="9.140625" style="56"/>
    <col min="7937" max="7937" width="34.85546875" style="56" customWidth="1"/>
    <col min="7938" max="7940" width="4.7109375" style="56" customWidth="1"/>
    <col min="7941" max="7941" width="13.140625" style="56" customWidth="1"/>
    <col min="7942" max="7942" width="4.7109375" style="56" customWidth="1"/>
    <col min="7943" max="7943" width="11.28515625" style="56" customWidth="1"/>
    <col min="7944" max="7946" width="9.85546875" style="56" customWidth="1"/>
    <col min="7947" max="7947" width="25.28515625" style="56" customWidth="1"/>
    <col min="7948" max="7948" width="9.140625" style="56"/>
    <col min="7949" max="7949" width="11.140625" style="56" customWidth="1"/>
    <col min="7950" max="7950" width="9.28515625" style="56" bestFit="1" customWidth="1"/>
    <col min="7951" max="7952" width="9.140625" style="56"/>
    <col min="7953" max="7953" width="9.5703125" style="56" bestFit="1" customWidth="1"/>
    <col min="7954" max="7954" width="10.85546875" style="56" bestFit="1" customWidth="1"/>
    <col min="7955" max="7955" width="11.42578125" style="56" customWidth="1"/>
    <col min="7956" max="8192" width="9.140625" style="56"/>
    <col min="8193" max="8193" width="34.85546875" style="56" customWidth="1"/>
    <col min="8194" max="8196" width="4.7109375" style="56" customWidth="1"/>
    <col min="8197" max="8197" width="13.140625" style="56" customWidth="1"/>
    <col min="8198" max="8198" width="4.7109375" style="56" customWidth="1"/>
    <col min="8199" max="8199" width="11.28515625" style="56" customWidth="1"/>
    <col min="8200" max="8202" width="9.85546875" style="56" customWidth="1"/>
    <col min="8203" max="8203" width="25.28515625" style="56" customWidth="1"/>
    <col min="8204" max="8204" width="9.140625" style="56"/>
    <col min="8205" max="8205" width="11.140625" style="56" customWidth="1"/>
    <col min="8206" max="8206" width="9.28515625" style="56" bestFit="1" customWidth="1"/>
    <col min="8207" max="8208" width="9.140625" style="56"/>
    <col min="8209" max="8209" width="9.5703125" style="56" bestFit="1" customWidth="1"/>
    <col min="8210" max="8210" width="10.85546875" style="56" bestFit="1" customWidth="1"/>
    <col min="8211" max="8211" width="11.42578125" style="56" customWidth="1"/>
    <col min="8212" max="8448" width="9.140625" style="56"/>
    <col min="8449" max="8449" width="34.85546875" style="56" customWidth="1"/>
    <col min="8450" max="8452" width="4.7109375" style="56" customWidth="1"/>
    <col min="8453" max="8453" width="13.140625" style="56" customWidth="1"/>
    <col min="8454" max="8454" width="4.7109375" style="56" customWidth="1"/>
    <col min="8455" max="8455" width="11.28515625" style="56" customWidth="1"/>
    <col min="8456" max="8458" width="9.85546875" style="56" customWidth="1"/>
    <col min="8459" max="8459" width="25.28515625" style="56" customWidth="1"/>
    <col min="8460" max="8460" width="9.140625" style="56"/>
    <col min="8461" max="8461" width="11.140625" style="56" customWidth="1"/>
    <col min="8462" max="8462" width="9.28515625" style="56" bestFit="1" customWidth="1"/>
    <col min="8463" max="8464" width="9.140625" style="56"/>
    <col min="8465" max="8465" width="9.5703125" style="56" bestFit="1" customWidth="1"/>
    <col min="8466" max="8466" width="10.85546875" style="56" bestFit="1" customWidth="1"/>
    <col min="8467" max="8467" width="11.42578125" style="56" customWidth="1"/>
    <col min="8468" max="8704" width="9.140625" style="56"/>
    <col min="8705" max="8705" width="34.85546875" style="56" customWidth="1"/>
    <col min="8706" max="8708" width="4.7109375" style="56" customWidth="1"/>
    <col min="8709" max="8709" width="13.140625" style="56" customWidth="1"/>
    <col min="8710" max="8710" width="4.7109375" style="56" customWidth="1"/>
    <col min="8711" max="8711" width="11.28515625" style="56" customWidth="1"/>
    <col min="8712" max="8714" width="9.85546875" style="56" customWidth="1"/>
    <col min="8715" max="8715" width="25.28515625" style="56" customWidth="1"/>
    <col min="8716" max="8716" width="9.140625" style="56"/>
    <col min="8717" max="8717" width="11.140625" style="56" customWidth="1"/>
    <col min="8718" max="8718" width="9.28515625" style="56" bestFit="1" customWidth="1"/>
    <col min="8719" max="8720" width="9.140625" style="56"/>
    <col min="8721" max="8721" width="9.5703125" style="56" bestFit="1" customWidth="1"/>
    <col min="8722" max="8722" width="10.85546875" style="56" bestFit="1" customWidth="1"/>
    <col min="8723" max="8723" width="11.42578125" style="56" customWidth="1"/>
    <col min="8724" max="8960" width="9.140625" style="56"/>
    <col min="8961" max="8961" width="34.85546875" style="56" customWidth="1"/>
    <col min="8962" max="8964" width="4.7109375" style="56" customWidth="1"/>
    <col min="8965" max="8965" width="13.140625" style="56" customWidth="1"/>
    <col min="8966" max="8966" width="4.7109375" style="56" customWidth="1"/>
    <col min="8967" max="8967" width="11.28515625" style="56" customWidth="1"/>
    <col min="8968" max="8970" width="9.85546875" style="56" customWidth="1"/>
    <col min="8971" max="8971" width="25.28515625" style="56" customWidth="1"/>
    <col min="8972" max="8972" width="9.140625" style="56"/>
    <col min="8973" max="8973" width="11.140625" style="56" customWidth="1"/>
    <col min="8974" max="8974" width="9.28515625" style="56" bestFit="1" customWidth="1"/>
    <col min="8975" max="8976" width="9.140625" style="56"/>
    <col min="8977" max="8977" width="9.5703125" style="56" bestFit="1" customWidth="1"/>
    <col min="8978" max="8978" width="10.85546875" style="56" bestFit="1" customWidth="1"/>
    <col min="8979" max="8979" width="11.42578125" style="56" customWidth="1"/>
    <col min="8980" max="9216" width="9.140625" style="56"/>
    <col min="9217" max="9217" width="34.85546875" style="56" customWidth="1"/>
    <col min="9218" max="9220" width="4.7109375" style="56" customWidth="1"/>
    <col min="9221" max="9221" width="13.140625" style="56" customWidth="1"/>
    <col min="9222" max="9222" width="4.7109375" style="56" customWidth="1"/>
    <col min="9223" max="9223" width="11.28515625" style="56" customWidth="1"/>
    <col min="9224" max="9226" width="9.85546875" style="56" customWidth="1"/>
    <col min="9227" max="9227" width="25.28515625" style="56" customWidth="1"/>
    <col min="9228" max="9228" width="9.140625" style="56"/>
    <col min="9229" max="9229" width="11.140625" style="56" customWidth="1"/>
    <col min="9230" max="9230" width="9.28515625" style="56" bestFit="1" customWidth="1"/>
    <col min="9231" max="9232" width="9.140625" style="56"/>
    <col min="9233" max="9233" width="9.5703125" style="56" bestFit="1" customWidth="1"/>
    <col min="9234" max="9234" width="10.85546875" style="56" bestFit="1" customWidth="1"/>
    <col min="9235" max="9235" width="11.42578125" style="56" customWidth="1"/>
    <col min="9236" max="9472" width="9.140625" style="56"/>
    <col min="9473" max="9473" width="34.85546875" style="56" customWidth="1"/>
    <col min="9474" max="9476" width="4.7109375" style="56" customWidth="1"/>
    <col min="9477" max="9477" width="13.140625" style="56" customWidth="1"/>
    <col min="9478" max="9478" width="4.7109375" style="56" customWidth="1"/>
    <col min="9479" max="9479" width="11.28515625" style="56" customWidth="1"/>
    <col min="9480" max="9482" width="9.85546875" style="56" customWidth="1"/>
    <col min="9483" max="9483" width="25.28515625" style="56" customWidth="1"/>
    <col min="9484" max="9484" width="9.140625" style="56"/>
    <col min="9485" max="9485" width="11.140625" style="56" customWidth="1"/>
    <col min="9486" max="9486" width="9.28515625" style="56" bestFit="1" customWidth="1"/>
    <col min="9487" max="9488" width="9.140625" style="56"/>
    <col min="9489" max="9489" width="9.5703125" style="56" bestFit="1" customWidth="1"/>
    <col min="9490" max="9490" width="10.85546875" style="56" bestFit="1" customWidth="1"/>
    <col min="9491" max="9491" width="11.42578125" style="56" customWidth="1"/>
    <col min="9492" max="9728" width="9.140625" style="56"/>
    <col min="9729" max="9729" width="34.85546875" style="56" customWidth="1"/>
    <col min="9730" max="9732" width="4.7109375" style="56" customWidth="1"/>
    <col min="9733" max="9733" width="13.140625" style="56" customWidth="1"/>
    <col min="9734" max="9734" width="4.7109375" style="56" customWidth="1"/>
    <col min="9735" max="9735" width="11.28515625" style="56" customWidth="1"/>
    <col min="9736" max="9738" width="9.85546875" style="56" customWidth="1"/>
    <col min="9739" max="9739" width="25.28515625" style="56" customWidth="1"/>
    <col min="9740" max="9740" width="9.140625" style="56"/>
    <col min="9741" max="9741" width="11.140625" style="56" customWidth="1"/>
    <col min="9742" max="9742" width="9.28515625" style="56" bestFit="1" customWidth="1"/>
    <col min="9743" max="9744" width="9.140625" style="56"/>
    <col min="9745" max="9745" width="9.5703125" style="56" bestFit="1" customWidth="1"/>
    <col min="9746" max="9746" width="10.85546875" style="56" bestFit="1" customWidth="1"/>
    <col min="9747" max="9747" width="11.42578125" style="56" customWidth="1"/>
    <col min="9748" max="9984" width="9.140625" style="56"/>
    <col min="9985" max="9985" width="34.85546875" style="56" customWidth="1"/>
    <col min="9986" max="9988" width="4.7109375" style="56" customWidth="1"/>
    <col min="9989" max="9989" width="13.140625" style="56" customWidth="1"/>
    <col min="9990" max="9990" width="4.7109375" style="56" customWidth="1"/>
    <col min="9991" max="9991" width="11.28515625" style="56" customWidth="1"/>
    <col min="9992" max="9994" width="9.85546875" style="56" customWidth="1"/>
    <col min="9995" max="9995" width="25.28515625" style="56" customWidth="1"/>
    <col min="9996" max="9996" width="9.140625" style="56"/>
    <col min="9997" max="9997" width="11.140625" style="56" customWidth="1"/>
    <col min="9998" max="9998" width="9.28515625" style="56" bestFit="1" customWidth="1"/>
    <col min="9999" max="10000" width="9.140625" style="56"/>
    <col min="10001" max="10001" width="9.5703125" style="56" bestFit="1" customWidth="1"/>
    <col min="10002" max="10002" width="10.85546875" style="56" bestFit="1" customWidth="1"/>
    <col min="10003" max="10003" width="11.42578125" style="56" customWidth="1"/>
    <col min="10004" max="10240" width="9.140625" style="56"/>
    <col min="10241" max="10241" width="34.85546875" style="56" customWidth="1"/>
    <col min="10242" max="10244" width="4.7109375" style="56" customWidth="1"/>
    <col min="10245" max="10245" width="13.140625" style="56" customWidth="1"/>
    <col min="10246" max="10246" width="4.7109375" style="56" customWidth="1"/>
    <col min="10247" max="10247" width="11.28515625" style="56" customWidth="1"/>
    <col min="10248" max="10250" width="9.85546875" style="56" customWidth="1"/>
    <col min="10251" max="10251" width="25.28515625" style="56" customWidth="1"/>
    <col min="10252" max="10252" width="9.140625" style="56"/>
    <col min="10253" max="10253" width="11.140625" style="56" customWidth="1"/>
    <col min="10254" max="10254" width="9.28515625" style="56" bestFit="1" customWidth="1"/>
    <col min="10255" max="10256" width="9.140625" style="56"/>
    <col min="10257" max="10257" width="9.5703125" style="56" bestFit="1" customWidth="1"/>
    <col min="10258" max="10258" width="10.85546875" style="56" bestFit="1" customWidth="1"/>
    <col min="10259" max="10259" width="11.42578125" style="56" customWidth="1"/>
    <col min="10260" max="10496" width="9.140625" style="56"/>
    <col min="10497" max="10497" width="34.85546875" style="56" customWidth="1"/>
    <col min="10498" max="10500" width="4.7109375" style="56" customWidth="1"/>
    <col min="10501" max="10501" width="13.140625" style="56" customWidth="1"/>
    <col min="10502" max="10502" width="4.7109375" style="56" customWidth="1"/>
    <col min="10503" max="10503" width="11.28515625" style="56" customWidth="1"/>
    <col min="10504" max="10506" width="9.85546875" style="56" customWidth="1"/>
    <col min="10507" max="10507" width="25.28515625" style="56" customWidth="1"/>
    <col min="10508" max="10508" width="9.140625" style="56"/>
    <col min="10509" max="10509" width="11.140625" style="56" customWidth="1"/>
    <col min="10510" max="10510" width="9.28515625" style="56" bestFit="1" customWidth="1"/>
    <col min="10511" max="10512" width="9.140625" style="56"/>
    <col min="10513" max="10513" width="9.5703125" style="56" bestFit="1" customWidth="1"/>
    <col min="10514" max="10514" width="10.85546875" style="56" bestFit="1" customWidth="1"/>
    <col min="10515" max="10515" width="11.42578125" style="56" customWidth="1"/>
    <col min="10516" max="10752" width="9.140625" style="56"/>
    <col min="10753" max="10753" width="34.85546875" style="56" customWidth="1"/>
    <col min="10754" max="10756" width="4.7109375" style="56" customWidth="1"/>
    <col min="10757" max="10757" width="13.140625" style="56" customWidth="1"/>
    <col min="10758" max="10758" width="4.7109375" style="56" customWidth="1"/>
    <col min="10759" max="10759" width="11.28515625" style="56" customWidth="1"/>
    <col min="10760" max="10762" width="9.85546875" style="56" customWidth="1"/>
    <col min="10763" max="10763" width="25.28515625" style="56" customWidth="1"/>
    <col min="10764" max="10764" width="9.140625" style="56"/>
    <col min="10765" max="10765" width="11.140625" style="56" customWidth="1"/>
    <col min="10766" max="10766" width="9.28515625" style="56" bestFit="1" customWidth="1"/>
    <col min="10767" max="10768" width="9.140625" style="56"/>
    <col min="10769" max="10769" width="9.5703125" style="56" bestFit="1" customWidth="1"/>
    <col min="10770" max="10770" width="10.85546875" style="56" bestFit="1" customWidth="1"/>
    <col min="10771" max="10771" width="11.42578125" style="56" customWidth="1"/>
    <col min="10772" max="11008" width="9.140625" style="56"/>
    <col min="11009" max="11009" width="34.85546875" style="56" customWidth="1"/>
    <col min="11010" max="11012" width="4.7109375" style="56" customWidth="1"/>
    <col min="11013" max="11013" width="13.140625" style="56" customWidth="1"/>
    <col min="11014" max="11014" width="4.7109375" style="56" customWidth="1"/>
    <col min="11015" max="11015" width="11.28515625" style="56" customWidth="1"/>
    <col min="11016" max="11018" width="9.85546875" style="56" customWidth="1"/>
    <col min="11019" max="11019" width="25.28515625" style="56" customWidth="1"/>
    <col min="11020" max="11020" width="9.140625" style="56"/>
    <col min="11021" max="11021" width="11.140625" style="56" customWidth="1"/>
    <col min="11022" max="11022" width="9.28515625" style="56" bestFit="1" customWidth="1"/>
    <col min="11023" max="11024" width="9.140625" style="56"/>
    <col min="11025" max="11025" width="9.5703125" style="56" bestFit="1" customWidth="1"/>
    <col min="11026" max="11026" width="10.85546875" style="56" bestFit="1" customWidth="1"/>
    <col min="11027" max="11027" width="11.42578125" style="56" customWidth="1"/>
    <col min="11028" max="11264" width="9.140625" style="56"/>
    <col min="11265" max="11265" width="34.85546875" style="56" customWidth="1"/>
    <col min="11266" max="11268" width="4.7109375" style="56" customWidth="1"/>
    <col min="11269" max="11269" width="13.140625" style="56" customWidth="1"/>
    <col min="11270" max="11270" width="4.7109375" style="56" customWidth="1"/>
    <col min="11271" max="11271" width="11.28515625" style="56" customWidth="1"/>
    <col min="11272" max="11274" width="9.85546875" style="56" customWidth="1"/>
    <col min="11275" max="11275" width="25.28515625" style="56" customWidth="1"/>
    <col min="11276" max="11276" width="9.140625" style="56"/>
    <col min="11277" max="11277" width="11.140625" style="56" customWidth="1"/>
    <col min="11278" max="11278" width="9.28515625" style="56" bestFit="1" customWidth="1"/>
    <col min="11279" max="11280" width="9.140625" style="56"/>
    <col min="11281" max="11281" width="9.5703125" style="56" bestFit="1" customWidth="1"/>
    <col min="11282" max="11282" width="10.85546875" style="56" bestFit="1" customWidth="1"/>
    <col min="11283" max="11283" width="11.42578125" style="56" customWidth="1"/>
    <col min="11284" max="11520" width="9.140625" style="56"/>
    <col min="11521" max="11521" width="34.85546875" style="56" customWidth="1"/>
    <col min="11522" max="11524" width="4.7109375" style="56" customWidth="1"/>
    <col min="11525" max="11525" width="13.140625" style="56" customWidth="1"/>
    <col min="11526" max="11526" width="4.7109375" style="56" customWidth="1"/>
    <col min="11527" max="11527" width="11.28515625" style="56" customWidth="1"/>
    <col min="11528" max="11530" width="9.85546875" style="56" customWidth="1"/>
    <col min="11531" max="11531" width="25.28515625" style="56" customWidth="1"/>
    <col min="11532" max="11532" width="9.140625" style="56"/>
    <col min="11533" max="11533" width="11.140625" style="56" customWidth="1"/>
    <col min="11534" max="11534" width="9.28515625" style="56" bestFit="1" customWidth="1"/>
    <col min="11535" max="11536" width="9.140625" style="56"/>
    <col min="11537" max="11537" width="9.5703125" style="56" bestFit="1" customWidth="1"/>
    <col min="11538" max="11538" width="10.85546875" style="56" bestFit="1" customWidth="1"/>
    <col min="11539" max="11539" width="11.42578125" style="56" customWidth="1"/>
    <col min="11540" max="11776" width="9.140625" style="56"/>
    <col min="11777" max="11777" width="34.85546875" style="56" customWidth="1"/>
    <col min="11778" max="11780" width="4.7109375" style="56" customWidth="1"/>
    <col min="11781" max="11781" width="13.140625" style="56" customWidth="1"/>
    <col min="11782" max="11782" width="4.7109375" style="56" customWidth="1"/>
    <col min="11783" max="11783" width="11.28515625" style="56" customWidth="1"/>
    <col min="11784" max="11786" width="9.85546875" style="56" customWidth="1"/>
    <col min="11787" max="11787" width="25.28515625" style="56" customWidth="1"/>
    <col min="11788" max="11788" width="9.140625" style="56"/>
    <col min="11789" max="11789" width="11.140625" style="56" customWidth="1"/>
    <col min="11790" max="11790" width="9.28515625" style="56" bestFit="1" customWidth="1"/>
    <col min="11791" max="11792" width="9.140625" style="56"/>
    <col min="11793" max="11793" width="9.5703125" style="56" bestFit="1" customWidth="1"/>
    <col min="11794" max="11794" width="10.85546875" style="56" bestFit="1" customWidth="1"/>
    <col min="11795" max="11795" width="11.42578125" style="56" customWidth="1"/>
    <col min="11796" max="12032" width="9.140625" style="56"/>
    <col min="12033" max="12033" width="34.85546875" style="56" customWidth="1"/>
    <col min="12034" max="12036" width="4.7109375" style="56" customWidth="1"/>
    <col min="12037" max="12037" width="13.140625" style="56" customWidth="1"/>
    <col min="12038" max="12038" width="4.7109375" style="56" customWidth="1"/>
    <col min="12039" max="12039" width="11.28515625" style="56" customWidth="1"/>
    <col min="12040" max="12042" width="9.85546875" style="56" customWidth="1"/>
    <col min="12043" max="12043" width="25.28515625" style="56" customWidth="1"/>
    <col min="12044" max="12044" width="9.140625" style="56"/>
    <col min="12045" max="12045" width="11.140625" style="56" customWidth="1"/>
    <col min="12046" max="12046" width="9.28515625" style="56" bestFit="1" customWidth="1"/>
    <col min="12047" max="12048" width="9.140625" style="56"/>
    <col min="12049" max="12049" width="9.5703125" style="56" bestFit="1" customWidth="1"/>
    <col min="12050" max="12050" width="10.85546875" style="56" bestFit="1" customWidth="1"/>
    <col min="12051" max="12051" width="11.42578125" style="56" customWidth="1"/>
    <col min="12052" max="12288" width="9.140625" style="56"/>
    <col min="12289" max="12289" width="34.85546875" style="56" customWidth="1"/>
    <col min="12290" max="12292" width="4.7109375" style="56" customWidth="1"/>
    <col min="12293" max="12293" width="13.140625" style="56" customWidth="1"/>
    <col min="12294" max="12294" width="4.7109375" style="56" customWidth="1"/>
    <col min="12295" max="12295" width="11.28515625" style="56" customWidth="1"/>
    <col min="12296" max="12298" width="9.85546875" style="56" customWidth="1"/>
    <col min="12299" max="12299" width="25.28515625" style="56" customWidth="1"/>
    <col min="12300" max="12300" width="9.140625" style="56"/>
    <col min="12301" max="12301" width="11.140625" style="56" customWidth="1"/>
    <col min="12302" max="12302" width="9.28515625" style="56" bestFit="1" customWidth="1"/>
    <col min="12303" max="12304" width="9.140625" style="56"/>
    <col min="12305" max="12305" width="9.5703125" style="56" bestFit="1" customWidth="1"/>
    <col min="12306" max="12306" width="10.85546875" style="56" bestFit="1" customWidth="1"/>
    <col min="12307" max="12307" width="11.42578125" style="56" customWidth="1"/>
    <col min="12308" max="12544" width="9.140625" style="56"/>
    <col min="12545" max="12545" width="34.85546875" style="56" customWidth="1"/>
    <col min="12546" max="12548" width="4.7109375" style="56" customWidth="1"/>
    <col min="12549" max="12549" width="13.140625" style="56" customWidth="1"/>
    <col min="12550" max="12550" width="4.7109375" style="56" customWidth="1"/>
    <col min="12551" max="12551" width="11.28515625" style="56" customWidth="1"/>
    <col min="12552" max="12554" width="9.85546875" style="56" customWidth="1"/>
    <col min="12555" max="12555" width="25.28515625" style="56" customWidth="1"/>
    <col min="12556" max="12556" width="9.140625" style="56"/>
    <col min="12557" max="12557" width="11.140625" style="56" customWidth="1"/>
    <col min="12558" max="12558" width="9.28515625" style="56" bestFit="1" customWidth="1"/>
    <col min="12559" max="12560" width="9.140625" style="56"/>
    <col min="12561" max="12561" width="9.5703125" style="56" bestFit="1" customWidth="1"/>
    <col min="12562" max="12562" width="10.85546875" style="56" bestFit="1" customWidth="1"/>
    <col min="12563" max="12563" width="11.42578125" style="56" customWidth="1"/>
    <col min="12564" max="12800" width="9.140625" style="56"/>
    <col min="12801" max="12801" width="34.85546875" style="56" customWidth="1"/>
    <col min="12802" max="12804" width="4.7109375" style="56" customWidth="1"/>
    <col min="12805" max="12805" width="13.140625" style="56" customWidth="1"/>
    <col min="12806" max="12806" width="4.7109375" style="56" customWidth="1"/>
    <col min="12807" max="12807" width="11.28515625" style="56" customWidth="1"/>
    <col min="12808" max="12810" width="9.85546875" style="56" customWidth="1"/>
    <col min="12811" max="12811" width="25.28515625" style="56" customWidth="1"/>
    <col min="12812" max="12812" width="9.140625" style="56"/>
    <col min="12813" max="12813" width="11.140625" style="56" customWidth="1"/>
    <col min="12814" max="12814" width="9.28515625" style="56" bestFit="1" customWidth="1"/>
    <col min="12815" max="12816" width="9.140625" style="56"/>
    <col min="12817" max="12817" width="9.5703125" style="56" bestFit="1" customWidth="1"/>
    <col min="12818" max="12818" width="10.85546875" style="56" bestFit="1" customWidth="1"/>
    <col min="12819" max="12819" width="11.42578125" style="56" customWidth="1"/>
    <col min="12820" max="13056" width="9.140625" style="56"/>
    <col min="13057" max="13057" width="34.85546875" style="56" customWidth="1"/>
    <col min="13058" max="13060" width="4.7109375" style="56" customWidth="1"/>
    <col min="13061" max="13061" width="13.140625" style="56" customWidth="1"/>
    <col min="13062" max="13062" width="4.7109375" style="56" customWidth="1"/>
    <col min="13063" max="13063" width="11.28515625" style="56" customWidth="1"/>
    <col min="13064" max="13066" width="9.85546875" style="56" customWidth="1"/>
    <col min="13067" max="13067" width="25.28515625" style="56" customWidth="1"/>
    <col min="13068" max="13068" width="9.140625" style="56"/>
    <col min="13069" max="13069" width="11.140625" style="56" customWidth="1"/>
    <col min="13070" max="13070" width="9.28515625" style="56" bestFit="1" customWidth="1"/>
    <col min="13071" max="13072" width="9.140625" style="56"/>
    <col min="13073" max="13073" width="9.5703125" style="56" bestFit="1" customWidth="1"/>
    <col min="13074" max="13074" width="10.85546875" style="56" bestFit="1" customWidth="1"/>
    <col min="13075" max="13075" width="11.42578125" style="56" customWidth="1"/>
    <col min="13076" max="13312" width="9.140625" style="56"/>
    <col min="13313" max="13313" width="34.85546875" style="56" customWidth="1"/>
    <col min="13314" max="13316" width="4.7109375" style="56" customWidth="1"/>
    <col min="13317" max="13317" width="13.140625" style="56" customWidth="1"/>
    <col min="13318" max="13318" width="4.7109375" style="56" customWidth="1"/>
    <col min="13319" max="13319" width="11.28515625" style="56" customWidth="1"/>
    <col min="13320" max="13322" width="9.85546875" style="56" customWidth="1"/>
    <col min="13323" max="13323" width="25.28515625" style="56" customWidth="1"/>
    <col min="13324" max="13324" width="9.140625" style="56"/>
    <col min="13325" max="13325" width="11.140625" style="56" customWidth="1"/>
    <col min="13326" max="13326" width="9.28515625" style="56" bestFit="1" customWidth="1"/>
    <col min="13327" max="13328" width="9.140625" style="56"/>
    <col min="13329" max="13329" width="9.5703125" style="56" bestFit="1" customWidth="1"/>
    <col min="13330" max="13330" width="10.85546875" style="56" bestFit="1" customWidth="1"/>
    <col min="13331" max="13331" width="11.42578125" style="56" customWidth="1"/>
    <col min="13332" max="13568" width="9.140625" style="56"/>
    <col min="13569" max="13569" width="34.85546875" style="56" customWidth="1"/>
    <col min="13570" max="13572" width="4.7109375" style="56" customWidth="1"/>
    <col min="13573" max="13573" width="13.140625" style="56" customWidth="1"/>
    <col min="13574" max="13574" width="4.7109375" style="56" customWidth="1"/>
    <col min="13575" max="13575" width="11.28515625" style="56" customWidth="1"/>
    <col min="13576" max="13578" width="9.85546875" style="56" customWidth="1"/>
    <col min="13579" max="13579" width="25.28515625" style="56" customWidth="1"/>
    <col min="13580" max="13580" width="9.140625" style="56"/>
    <col min="13581" max="13581" width="11.140625" style="56" customWidth="1"/>
    <col min="13582" max="13582" width="9.28515625" style="56" bestFit="1" customWidth="1"/>
    <col min="13583" max="13584" width="9.140625" style="56"/>
    <col min="13585" max="13585" width="9.5703125" style="56" bestFit="1" customWidth="1"/>
    <col min="13586" max="13586" width="10.85546875" style="56" bestFit="1" customWidth="1"/>
    <col min="13587" max="13587" width="11.42578125" style="56" customWidth="1"/>
    <col min="13588" max="13824" width="9.140625" style="56"/>
    <col min="13825" max="13825" width="34.85546875" style="56" customWidth="1"/>
    <col min="13826" max="13828" width="4.7109375" style="56" customWidth="1"/>
    <col min="13829" max="13829" width="13.140625" style="56" customWidth="1"/>
    <col min="13830" max="13830" width="4.7109375" style="56" customWidth="1"/>
    <col min="13831" max="13831" width="11.28515625" style="56" customWidth="1"/>
    <col min="13832" max="13834" width="9.85546875" style="56" customWidth="1"/>
    <col min="13835" max="13835" width="25.28515625" style="56" customWidth="1"/>
    <col min="13836" max="13836" width="9.140625" style="56"/>
    <col min="13837" max="13837" width="11.140625" style="56" customWidth="1"/>
    <col min="13838" max="13838" width="9.28515625" style="56" bestFit="1" customWidth="1"/>
    <col min="13839" max="13840" width="9.140625" style="56"/>
    <col min="13841" max="13841" width="9.5703125" style="56" bestFit="1" customWidth="1"/>
    <col min="13842" max="13842" width="10.85546875" style="56" bestFit="1" customWidth="1"/>
    <col min="13843" max="13843" width="11.42578125" style="56" customWidth="1"/>
    <col min="13844" max="14080" width="9.140625" style="56"/>
    <col min="14081" max="14081" width="34.85546875" style="56" customWidth="1"/>
    <col min="14082" max="14084" width="4.7109375" style="56" customWidth="1"/>
    <col min="14085" max="14085" width="13.140625" style="56" customWidth="1"/>
    <col min="14086" max="14086" width="4.7109375" style="56" customWidth="1"/>
    <col min="14087" max="14087" width="11.28515625" style="56" customWidth="1"/>
    <col min="14088" max="14090" width="9.85546875" style="56" customWidth="1"/>
    <col min="14091" max="14091" width="25.28515625" style="56" customWidth="1"/>
    <col min="14092" max="14092" width="9.140625" style="56"/>
    <col min="14093" max="14093" width="11.140625" style="56" customWidth="1"/>
    <col min="14094" max="14094" width="9.28515625" style="56" bestFit="1" customWidth="1"/>
    <col min="14095" max="14096" width="9.140625" style="56"/>
    <col min="14097" max="14097" width="9.5703125" style="56" bestFit="1" customWidth="1"/>
    <col min="14098" max="14098" width="10.85546875" style="56" bestFit="1" customWidth="1"/>
    <col min="14099" max="14099" width="11.42578125" style="56" customWidth="1"/>
    <col min="14100" max="14336" width="9.140625" style="56"/>
    <col min="14337" max="14337" width="34.85546875" style="56" customWidth="1"/>
    <col min="14338" max="14340" width="4.7109375" style="56" customWidth="1"/>
    <col min="14341" max="14341" width="13.140625" style="56" customWidth="1"/>
    <col min="14342" max="14342" width="4.7109375" style="56" customWidth="1"/>
    <col min="14343" max="14343" width="11.28515625" style="56" customWidth="1"/>
    <col min="14344" max="14346" width="9.85546875" style="56" customWidth="1"/>
    <col min="14347" max="14347" width="25.28515625" style="56" customWidth="1"/>
    <col min="14348" max="14348" width="9.140625" style="56"/>
    <col min="14349" max="14349" width="11.140625" style="56" customWidth="1"/>
    <col min="14350" max="14350" width="9.28515625" style="56" bestFit="1" customWidth="1"/>
    <col min="14351" max="14352" width="9.140625" style="56"/>
    <col min="14353" max="14353" width="9.5703125" style="56" bestFit="1" customWidth="1"/>
    <col min="14354" max="14354" width="10.85546875" style="56" bestFit="1" customWidth="1"/>
    <col min="14355" max="14355" width="11.42578125" style="56" customWidth="1"/>
    <col min="14356" max="14592" width="9.140625" style="56"/>
    <col min="14593" max="14593" width="34.85546875" style="56" customWidth="1"/>
    <col min="14594" max="14596" width="4.7109375" style="56" customWidth="1"/>
    <col min="14597" max="14597" width="13.140625" style="56" customWidth="1"/>
    <col min="14598" max="14598" width="4.7109375" style="56" customWidth="1"/>
    <col min="14599" max="14599" width="11.28515625" style="56" customWidth="1"/>
    <col min="14600" max="14602" width="9.85546875" style="56" customWidth="1"/>
    <col min="14603" max="14603" width="25.28515625" style="56" customWidth="1"/>
    <col min="14604" max="14604" width="9.140625" style="56"/>
    <col min="14605" max="14605" width="11.140625" style="56" customWidth="1"/>
    <col min="14606" max="14606" width="9.28515625" style="56" bestFit="1" customWidth="1"/>
    <col min="14607" max="14608" width="9.140625" style="56"/>
    <col min="14609" max="14609" width="9.5703125" style="56" bestFit="1" customWidth="1"/>
    <col min="14610" max="14610" width="10.85546875" style="56" bestFit="1" customWidth="1"/>
    <col min="14611" max="14611" width="11.42578125" style="56" customWidth="1"/>
    <col min="14612" max="14848" width="9.140625" style="56"/>
    <col min="14849" max="14849" width="34.85546875" style="56" customWidth="1"/>
    <col min="14850" max="14852" width="4.7109375" style="56" customWidth="1"/>
    <col min="14853" max="14853" width="13.140625" style="56" customWidth="1"/>
    <col min="14854" max="14854" width="4.7109375" style="56" customWidth="1"/>
    <col min="14855" max="14855" width="11.28515625" style="56" customWidth="1"/>
    <col min="14856" max="14858" width="9.85546875" style="56" customWidth="1"/>
    <col min="14859" max="14859" width="25.28515625" style="56" customWidth="1"/>
    <col min="14860" max="14860" width="9.140625" style="56"/>
    <col min="14861" max="14861" width="11.140625" style="56" customWidth="1"/>
    <col min="14862" max="14862" width="9.28515625" style="56" bestFit="1" customWidth="1"/>
    <col min="14863" max="14864" width="9.140625" style="56"/>
    <col min="14865" max="14865" width="9.5703125" style="56" bestFit="1" customWidth="1"/>
    <col min="14866" max="14866" width="10.85546875" style="56" bestFit="1" customWidth="1"/>
    <col min="14867" max="14867" width="11.42578125" style="56" customWidth="1"/>
    <col min="14868" max="15104" width="9.140625" style="56"/>
    <col min="15105" max="15105" width="34.85546875" style="56" customWidth="1"/>
    <col min="15106" max="15108" width="4.7109375" style="56" customWidth="1"/>
    <col min="15109" max="15109" width="13.140625" style="56" customWidth="1"/>
    <col min="15110" max="15110" width="4.7109375" style="56" customWidth="1"/>
    <col min="15111" max="15111" width="11.28515625" style="56" customWidth="1"/>
    <col min="15112" max="15114" width="9.85546875" style="56" customWidth="1"/>
    <col min="15115" max="15115" width="25.28515625" style="56" customWidth="1"/>
    <col min="15116" max="15116" width="9.140625" style="56"/>
    <col min="15117" max="15117" width="11.140625" style="56" customWidth="1"/>
    <col min="15118" max="15118" width="9.28515625" style="56" bestFit="1" customWidth="1"/>
    <col min="15119" max="15120" width="9.140625" style="56"/>
    <col min="15121" max="15121" width="9.5703125" style="56" bestFit="1" customWidth="1"/>
    <col min="15122" max="15122" width="10.85546875" style="56" bestFit="1" customWidth="1"/>
    <col min="15123" max="15123" width="11.42578125" style="56" customWidth="1"/>
    <col min="15124" max="15360" width="9.140625" style="56"/>
    <col min="15361" max="15361" width="34.85546875" style="56" customWidth="1"/>
    <col min="15362" max="15364" width="4.7109375" style="56" customWidth="1"/>
    <col min="15365" max="15365" width="13.140625" style="56" customWidth="1"/>
    <col min="15366" max="15366" width="4.7109375" style="56" customWidth="1"/>
    <col min="15367" max="15367" width="11.28515625" style="56" customWidth="1"/>
    <col min="15368" max="15370" width="9.85546875" style="56" customWidth="1"/>
    <col min="15371" max="15371" width="25.28515625" style="56" customWidth="1"/>
    <col min="15372" max="15372" width="9.140625" style="56"/>
    <col min="15373" max="15373" width="11.140625" style="56" customWidth="1"/>
    <col min="15374" max="15374" width="9.28515625" style="56" bestFit="1" customWidth="1"/>
    <col min="15375" max="15376" width="9.140625" style="56"/>
    <col min="15377" max="15377" width="9.5703125" style="56" bestFit="1" customWidth="1"/>
    <col min="15378" max="15378" width="10.85546875" style="56" bestFit="1" customWidth="1"/>
    <col min="15379" max="15379" width="11.42578125" style="56" customWidth="1"/>
    <col min="15380" max="15616" width="9.140625" style="56"/>
    <col min="15617" max="15617" width="34.85546875" style="56" customWidth="1"/>
    <col min="15618" max="15620" width="4.7109375" style="56" customWidth="1"/>
    <col min="15621" max="15621" width="13.140625" style="56" customWidth="1"/>
    <col min="15622" max="15622" width="4.7109375" style="56" customWidth="1"/>
    <col min="15623" max="15623" width="11.28515625" style="56" customWidth="1"/>
    <col min="15624" max="15626" width="9.85546875" style="56" customWidth="1"/>
    <col min="15627" max="15627" width="25.28515625" style="56" customWidth="1"/>
    <col min="15628" max="15628" width="9.140625" style="56"/>
    <col min="15629" max="15629" width="11.140625" style="56" customWidth="1"/>
    <col min="15630" max="15630" width="9.28515625" style="56" bestFit="1" customWidth="1"/>
    <col min="15631" max="15632" width="9.140625" style="56"/>
    <col min="15633" max="15633" width="9.5703125" style="56" bestFit="1" customWidth="1"/>
    <col min="15634" max="15634" width="10.85546875" style="56" bestFit="1" customWidth="1"/>
    <col min="15635" max="15635" width="11.42578125" style="56" customWidth="1"/>
    <col min="15636" max="15872" width="9.140625" style="56"/>
    <col min="15873" max="15873" width="34.85546875" style="56" customWidth="1"/>
    <col min="15874" max="15876" width="4.7109375" style="56" customWidth="1"/>
    <col min="15877" max="15877" width="13.140625" style="56" customWidth="1"/>
    <col min="15878" max="15878" width="4.7109375" style="56" customWidth="1"/>
    <col min="15879" max="15879" width="11.28515625" style="56" customWidth="1"/>
    <col min="15880" max="15882" width="9.85546875" style="56" customWidth="1"/>
    <col min="15883" max="15883" width="25.28515625" style="56" customWidth="1"/>
    <col min="15884" max="15884" width="9.140625" style="56"/>
    <col min="15885" max="15885" width="11.140625" style="56" customWidth="1"/>
    <col min="15886" max="15886" width="9.28515625" style="56" bestFit="1" customWidth="1"/>
    <col min="15887" max="15888" width="9.140625" style="56"/>
    <col min="15889" max="15889" width="9.5703125" style="56" bestFit="1" customWidth="1"/>
    <col min="15890" max="15890" width="10.85546875" style="56" bestFit="1" customWidth="1"/>
    <col min="15891" max="15891" width="11.42578125" style="56" customWidth="1"/>
    <col min="15892" max="16128" width="9.140625" style="56"/>
    <col min="16129" max="16129" width="34.85546875" style="56" customWidth="1"/>
    <col min="16130" max="16132" width="4.7109375" style="56" customWidth="1"/>
    <col min="16133" max="16133" width="13.140625" style="56" customWidth="1"/>
    <col min="16134" max="16134" width="4.7109375" style="56" customWidth="1"/>
    <col min="16135" max="16135" width="11.28515625" style="56" customWidth="1"/>
    <col min="16136" max="16138" width="9.85546875" style="56" customWidth="1"/>
    <col min="16139" max="16139" width="25.28515625" style="56" customWidth="1"/>
    <col min="16140" max="16140" width="9.140625" style="56"/>
    <col min="16141" max="16141" width="11.140625" style="56" customWidth="1"/>
    <col min="16142" max="16142" width="9.28515625" style="56" bestFit="1" customWidth="1"/>
    <col min="16143" max="16144" width="9.140625" style="56"/>
    <col min="16145" max="16145" width="9.5703125" style="56" bestFit="1" customWidth="1"/>
    <col min="16146" max="16146" width="10.85546875" style="56" bestFit="1" customWidth="1"/>
    <col min="16147" max="16147" width="11.42578125" style="56" customWidth="1"/>
    <col min="16148" max="16384" width="9.140625" style="56"/>
  </cols>
  <sheetData>
    <row r="1" spans="1:19" ht="25.5" customHeight="1" x14ac:dyDescent="0.2">
      <c r="G1" s="1066" t="str">
        <f>Доходы!C1</f>
        <v>К проекту среднесрочного финансового плана</v>
      </c>
      <c r="H1" s="1066"/>
      <c r="I1" s="1066"/>
      <c r="K1" s="619"/>
      <c r="L1" s="57"/>
    </row>
    <row r="2" spans="1:19" x14ac:dyDescent="0.2">
      <c r="A2" s="58"/>
      <c r="B2" s="58"/>
      <c r="C2" s="58"/>
      <c r="D2" s="58"/>
      <c r="E2" s="58"/>
      <c r="F2" s="58"/>
      <c r="G2" s="991"/>
      <c r="K2" s="619"/>
      <c r="L2" s="57"/>
    </row>
    <row r="3" spans="1:19" ht="69.75" customHeight="1" x14ac:dyDescent="0.2">
      <c r="A3" s="1067" t="s">
        <v>784</v>
      </c>
      <c r="B3" s="1067"/>
      <c r="C3" s="1067"/>
      <c r="D3" s="1067"/>
      <c r="E3" s="1067"/>
      <c r="F3" s="1067"/>
      <c r="G3" s="1067"/>
      <c r="H3" s="1067"/>
      <c r="I3" s="1067"/>
      <c r="J3" s="613"/>
      <c r="K3" s="619"/>
      <c r="L3" s="57"/>
    </row>
    <row r="4" spans="1:19" ht="18.75" customHeight="1" x14ac:dyDescent="0.2">
      <c r="A4" s="1067" t="str">
        <f>Доходы!A3</f>
        <v>на 2020 год и плановый период 2021-2022 годов</v>
      </c>
      <c r="B4" s="1067"/>
      <c r="C4" s="1067"/>
      <c r="D4" s="1067"/>
      <c r="E4" s="1067"/>
      <c r="F4" s="1067"/>
      <c r="G4" s="1067"/>
      <c r="H4" s="1067"/>
      <c r="I4" s="1067"/>
      <c r="J4" s="614"/>
      <c r="K4" s="619"/>
      <c r="L4" s="57"/>
      <c r="R4" s="612"/>
      <c r="S4" s="612"/>
    </row>
    <row r="5" spans="1:19" ht="13.5" customHeight="1" x14ac:dyDescent="0.2">
      <c r="A5" s="1068" t="str">
        <f>Доходы!A4</f>
        <v>Единица измерения: тыс. руб.</v>
      </c>
      <c r="B5" s="1068"/>
      <c r="C5" s="1068"/>
      <c r="D5" s="1068"/>
      <c r="E5" s="1068"/>
      <c r="F5" s="1068"/>
      <c r="G5" s="1068"/>
      <c r="H5" s="1068"/>
      <c r="I5" s="1068"/>
      <c r="J5" s="616"/>
      <c r="K5" s="619"/>
      <c r="L5" s="57"/>
      <c r="R5" s="59"/>
      <c r="S5" s="59"/>
    </row>
    <row r="6" spans="1:19" ht="28.5" customHeight="1" x14ac:dyDescent="0.2">
      <c r="A6" s="1059" t="s">
        <v>97</v>
      </c>
      <c r="B6" s="1060" t="s">
        <v>98</v>
      </c>
      <c r="C6" s="1061" t="s">
        <v>99</v>
      </c>
      <c r="D6" s="1060" t="s">
        <v>100</v>
      </c>
      <c r="E6" s="1062" t="s">
        <v>101</v>
      </c>
      <c r="F6" s="1060" t="s">
        <v>102</v>
      </c>
      <c r="G6" s="1069" t="str">
        <f>Доходы!C5</f>
        <v>Очередной 
финансовый
2020 год</v>
      </c>
      <c r="H6" s="1055" t="s">
        <v>5</v>
      </c>
      <c r="I6" s="1055"/>
      <c r="J6" s="625"/>
      <c r="K6" s="619"/>
      <c r="L6" s="57"/>
      <c r="R6" s="60"/>
      <c r="S6" s="60"/>
    </row>
    <row r="7" spans="1:19" ht="28.5" customHeight="1" x14ac:dyDescent="0.2">
      <c r="A7" s="1059"/>
      <c r="B7" s="1060"/>
      <c r="C7" s="1061"/>
      <c r="D7" s="1060"/>
      <c r="E7" s="1062"/>
      <c r="F7" s="1060"/>
      <c r="G7" s="1069"/>
      <c r="H7" s="61" t="str">
        <f>Доходы!D6</f>
        <v>1-й год, 2021 год</v>
      </c>
      <c r="I7" s="61" t="str">
        <f>Доходы!E6</f>
        <v>2-й год, 2022 год</v>
      </c>
      <c r="J7" s="625"/>
      <c r="K7" s="621"/>
      <c r="L7" s="907"/>
      <c r="S7" s="60"/>
    </row>
    <row r="8" spans="1:19" ht="18.75" x14ac:dyDescent="0.3">
      <c r="A8" s="62" t="s">
        <v>103</v>
      </c>
      <c r="B8" s="63"/>
      <c r="C8" s="63"/>
      <c r="D8" s="64"/>
      <c r="E8" s="64"/>
      <c r="F8" s="64"/>
      <c r="G8" s="513">
        <f>G9</f>
        <v>32302.500000000007</v>
      </c>
      <c r="H8" s="513">
        <f>H9</f>
        <v>28097.400000000009</v>
      </c>
      <c r="I8" s="513">
        <f>I9</f>
        <v>28410.500000000007</v>
      </c>
      <c r="J8" s="654"/>
      <c r="K8" s="686"/>
      <c r="L8" s="907"/>
      <c r="M8" s="65"/>
      <c r="N8" s="60"/>
      <c r="R8" s="66"/>
      <c r="S8" s="60"/>
    </row>
    <row r="9" spans="1:19" ht="38.25" x14ac:dyDescent="0.2">
      <c r="A9" s="67" t="s">
        <v>104</v>
      </c>
      <c r="B9" s="68">
        <v>220</v>
      </c>
      <c r="C9" s="69"/>
      <c r="D9" s="69"/>
      <c r="E9" s="69"/>
      <c r="F9" s="69"/>
      <c r="G9" s="514">
        <f>G10+G60+G65+G70+G86+G115</f>
        <v>32302.500000000007</v>
      </c>
      <c r="H9" s="514">
        <f>H10+H60+H65+H70+H86+H115</f>
        <v>28097.400000000009</v>
      </c>
      <c r="I9" s="514">
        <f>I10+I60+I65+I70+I86+I115</f>
        <v>28410.500000000007</v>
      </c>
      <c r="J9" s="627"/>
      <c r="K9" s="686"/>
      <c r="L9" s="70"/>
      <c r="M9" s="70"/>
      <c r="N9" s="70"/>
    </row>
    <row r="10" spans="1:19" ht="15" x14ac:dyDescent="0.2">
      <c r="A10" s="71" t="s">
        <v>105</v>
      </c>
      <c r="B10" s="72">
        <v>220</v>
      </c>
      <c r="C10" s="73" t="s">
        <v>106</v>
      </c>
      <c r="D10" s="73"/>
      <c r="E10" s="73"/>
      <c r="F10" s="73"/>
      <c r="G10" s="74">
        <f>G11+G15+G23+G33+G37+G41+G45</f>
        <v>18166.7</v>
      </c>
      <c r="H10" s="74">
        <f t="shared" ref="H10:I10" si="0">H11+H15+H23+H33+H37+H41+H45</f>
        <v>17906.700000000004</v>
      </c>
      <c r="I10" s="74">
        <f t="shared" si="0"/>
        <v>17877.400000000005</v>
      </c>
      <c r="J10" s="627"/>
      <c r="K10" s="686"/>
      <c r="L10" s="57"/>
    </row>
    <row r="11" spans="1:19" ht="51" x14ac:dyDescent="0.2">
      <c r="A11" s="67" t="s">
        <v>107</v>
      </c>
      <c r="B11" s="75">
        <v>220</v>
      </c>
      <c r="C11" s="76" t="s">
        <v>106</v>
      </c>
      <c r="D11" s="76" t="s">
        <v>108</v>
      </c>
      <c r="E11" s="76"/>
      <c r="F11" s="76"/>
      <c r="G11" s="20">
        <f>G12</f>
        <v>3311.3</v>
      </c>
      <c r="H11" s="20">
        <f>H12</f>
        <v>3311.3</v>
      </c>
      <c r="I11" s="20">
        <f>I12</f>
        <v>3311.3</v>
      </c>
      <c r="J11" s="627"/>
      <c r="K11" s="619"/>
      <c r="L11" s="57"/>
      <c r="M11" s="60"/>
      <c r="N11" s="77"/>
    </row>
    <row r="12" spans="1:19" x14ac:dyDescent="0.2">
      <c r="A12" s="45" t="s">
        <v>109</v>
      </c>
      <c r="B12" s="64">
        <v>220</v>
      </c>
      <c r="C12" s="78" t="s">
        <v>106</v>
      </c>
      <c r="D12" s="78" t="s">
        <v>108</v>
      </c>
      <c r="E12" s="78" t="s">
        <v>110</v>
      </c>
      <c r="F12" s="78"/>
      <c r="G12" s="11">
        <f>G14</f>
        <v>3311.3</v>
      </c>
      <c r="H12" s="11">
        <f>H14</f>
        <v>3311.3</v>
      </c>
      <c r="I12" s="11">
        <f>I14</f>
        <v>3311.3</v>
      </c>
      <c r="J12" s="627"/>
      <c r="K12" s="619"/>
      <c r="L12" s="57"/>
      <c r="M12" s="60"/>
      <c r="N12" s="77"/>
    </row>
    <row r="13" spans="1:19" ht="38.25" x14ac:dyDescent="0.2">
      <c r="A13" s="45" t="s">
        <v>111</v>
      </c>
      <c r="B13" s="64">
        <v>220</v>
      </c>
      <c r="C13" s="78" t="s">
        <v>106</v>
      </c>
      <c r="D13" s="78" t="s">
        <v>108</v>
      </c>
      <c r="E13" s="78" t="s">
        <v>112</v>
      </c>
      <c r="F13" s="78"/>
      <c r="G13" s="11">
        <f>G14</f>
        <v>3311.3</v>
      </c>
      <c r="H13" s="11">
        <f>H14</f>
        <v>3311.3</v>
      </c>
      <c r="I13" s="11">
        <f>I14</f>
        <v>3311.3</v>
      </c>
      <c r="J13" s="653"/>
      <c r="K13" s="619"/>
      <c r="L13" s="57"/>
      <c r="M13" s="60"/>
      <c r="N13" s="79"/>
    </row>
    <row r="14" spans="1:19" ht="83.25" customHeight="1" x14ac:dyDescent="0.2">
      <c r="A14" s="45" t="s">
        <v>113</v>
      </c>
      <c r="B14" s="64">
        <v>220</v>
      </c>
      <c r="C14" s="78" t="s">
        <v>106</v>
      </c>
      <c r="D14" s="78" t="s">
        <v>108</v>
      </c>
      <c r="E14" s="78" t="s">
        <v>112</v>
      </c>
      <c r="F14" s="78" t="s">
        <v>114</v>
      </c>
      <c r="G14" s="11">
        <f>сВДЛ!H65</f>
        <v>3311.3</v>
      </c>
      <c r="H14" s="11">
        <f>G14</f>
        <v>3311.3</v>
      </c>
      <c r="I14" s="11">
        <f>G14</f>
        <v>3311.3</v>
      </c>
      <c r="J14" s="1010">
        <f>-27000</f>
        <v>-27000</v>
      </c>
      <c r="K14" s="48" t="s">
        <v>948</v>
      </c>
      <c r="L14" s="57"/>
    </row>
    <row r="15" spans="1:19" ht="63.75" x14ac:dyDescent="0.2">
      <c r="A15" s="67" t="s">
        <v>115</v>
      </c>
      <c r="B15" s="75">
        <v>220</v>
      </c>
      <c r="C15" s="76" t="s">
        <v>106</v>
      </c>
      <c r="D15" s="76" t="s">
        <v>116</v>
      </c>
      <c r="E15" s="76"/>
      <c r="F15" s="76"/>
      <c r="G15" s="20">
        <f>G16</f>
        <v>10</v>
      </c>
      <c r="H15" s="20">
        <f>H16</f>
        <v>10</v>
      </c>
      <c r="I15" s="20">
        <f>I16</f>
        <v>10</v>
      </c>
      <c r="J15" s="626"/>
      <c r="K15" s="619"/>
      <c r="L15" s="57"/>
    </row>
    <row r="16" spans="1:19" ht="25.5" x14ac:dyDescent="0.2">
      <c r="A16" s="45" t="s">
        <v>117</v>
      </c>
      <c r="B16" s="64">
        <v>220</v>
      </c>
      <c r="C16" s="78" t="s">
        <v>106</v>
      </c>
      <c r="D16" s="78" t="s">
        <v>116</v>
      </c>
      <c r="E16" s="78" t="s">
        <v>118</v>
      </c>
      <c r="F16" s="78"/>
      <c r="G16" s="11">
        <f>G17+G20</f>
        <v>10</v>
      </c>
      <c r="H16" s="11">
        <f>H17+H20</f>
        <v>10</v>
      </c>
      <c r="I16" s="11">
        <f>I17+I20</f>
        <v>10</v>
      </c>
      <c r="J16" s="626"/>
      <c r="K16" s="619"/>
      <c r="L16" s="57"/>
    </row>
    <row r="17" spans="1:16" ht="12.75" hidden="1" customHeight="1" x14ac:dyDescent="0.2">
      <c r="A17" s="45" t="s">
        <v>119</v>
      </c>
      <c r="B17" s="64">
        <v>220</v>
      </c>
      <c r="C17" s="78" t="s">
        <v>106</v>
      </c>
      <c r="D17" s="78" t="s">
        <v>116</v>
      </c>
      <c r="E17" s="78" t="s">
        <v>120</v>
      </c>
      <c r="F17" s="78"/>
      <c r="G17" s="11">
        <f t="shared" ref="G17:I18" si="1">G18</f>
        <v>0</v>
      </c>
      <c r="H17" s="11">
        <f t="shared" si="1"/>
        <v>0</v>
      </c>
      <c r="I17" s="11">
        <f t="shared" si="1"/>
        <v>0</v>
      </c>
      <c r="J17" s="626"/>
      <c r="K17" s="619"/>
      <c r="L17" s="57"/>
    </row>
    <row r="18" spans="1:16" ht="38.25" hidden="1" customHeight="1" x14ac:dyDescent="0.2">
      <c r="A18" s="45" t="s">
        <v>111</v>
      </c>
      <c r="B18" s="64">
        <v>220</v>
      </c>
      <c r="C18" s="78" t="s">
        <v>106</v>
      </c>
      <c r="D18" s="78" t="s">
        <v>116</v>
      </c>
      <c r="E18" s="78" t="s">
        <v>121</v>
      </c>
      <c r="F18" s="78"/>
      <c r="G18" s="11">
        <f t="shared" si="1"/>
        <v>0</v>
      </c>
      <c r="H18" s="11">
        <f t="shared" si="1"/>
        <v>0</v>
      </c>
      <c r="I18" s="11">
        <f t="shared" si="1"/>
        <v>0</v>
      </c>
      <c r="J18" s="626"/>
      <c r="K18" s="619"/>
      <c r="L18" s="57"/>
    </row>
    <row r="19" spans="1:16" ht="89.25" hidden="1" customHeight="1" x14ac:dyDescent="0.2">
      <c r="A19" s="45" t="s">
        <v>113</v>
      </c>
      <c r="B19" s="64">
        <v>220</v>
      </c>
      <c r="C19" s="78" t="s">
        <v>106</v>
      </c>
      <c r="D19" s="78" t="s">
        <v>116</v>
      </c>
      <c r="E19" s="78" t="s">
        <v>121</v>
      </c>
      <c r="F19" s="78" t="s">
        <v>114</v>
      </c>
      <c r="G19" s="11">
        <v>0</v>
      </c>
      <c r="H19" s="11">
        <f>ROUND((G19*1.04),1)</f>
        <v>0</v>
      </c>
      <c r="I19" s="11">
        <f>ROUND((H19*1.04),1)</f>
        <v>0</v>
      </c>
      <c r="J19" s="626"/>
      <c r="K19" s="48"/>
      <c r="L19" s="57"/>
    </row>
    <row r="20" spans="1:16" x14ac:dyDescent="0.2">
      <c r="A20" s="45" t="s">
        <v>122</v>
      </c>
      <c r="B20" s="64">
        <v>220</v>
      </c>
      <c r="C20" s="78" t="s">
        <v>106</v>
      </c>
      <c r="D20" s="78" t="s">
        <v>116</v>
      </c>
      <c r="E20" s="78" t="s">
        <v>123</v>
      </c>
      <c r="F20" s="78"/>
      <c r="G20" s="11">
        <f t="shared" ref="G20:I21" si="2">G21</f>
        <v>10</v>
      </c>
      <c r="H20" s="11">
        <f t="shared" si="2"/>
        <v>10</v>
      </c>
      <c r="I20" s="11">
        <f t="shared" si="2"/>
        <v>10</v>
      </c>
      <c r="J20" s="626"/>
      <c r="K20" s="619"/>
      <c r="L20" s="57"/>
    </row>
    <row r="21" spans="1:16" ht="38.25" x14ac:dyDescent="0.2">
      <c r="A21" s="45" t="s">
        <v>111</v>
      </c>
      <c r="B21" s="64">
        <v>220</v>
      </c>
      <c r="C21" s="78" t="s">
        <v>106</v>
      </c>
      <c r="D21" s="78" t="s">
        <v>116</v>
      </c>
      <c r="E21" s="78" t="s">
        <v>124</v>
      </c>
      <c r="F21" s="78"/>
      <c r="G21" s="11">
        <f t="shared" si="2"/>
        <v>10</v>
      </c>
      <c r="H21" s="11">
        <f t="shared" si="2"/>
        <v>10</v>
      </c>
      <c r="I21" s="11">
        <f t="shared" si="2"/>
        <v>10</v>
      </c>
      <c r="J21" s="626"/>
      <c r="K21" s="619"/>
      <c r="L21" s="57"/>
    </row>
    <row r="22" spans="1:16" ht="38.25" x14ac:dyDescent="0.2">
      <c r="A22" s="17" t="s">
        <v>125</v>
      </c>
      <c r="B22" s="64">
        <v>220</v>
      </c>
      <c r="C22" s="78" t="s">
        <v>106</v>
      </c>
      <c r="D22" s="78" t="s">
        <v>116</v>
      </c>
      <c r="E22" s="78" t="s">
        <v>124</v>
      </c>
      <c r="F22" s="78" t="s">
        <v>126</v>
      </c>
      <c r="G22" s="11">
        <f>сДеп!H65</f>
        <v>10</v>
      </c>
      <c r="H22" s="11">
        <f>G22</f>
        <v>10</v>
      </c>
      <c r="I22" s="11">
        <f>H22</f>
        <v>10</v>
      </c>
      <c r="J22" s="627"/>
      <c r="K22" s="619"/>
      <c r="L22" s="57"/>
    </row>
    <row r="23" spans="1:16" ht="76.5" x14ac:dyDescent="0.2">
      <c r="A23" s="67" t="s">
        <v>127</v>
      </c>
      <c r="B23" s="75">
        <v>220</v>
      </c>
      <c r="C23" s="76" t="s">
        <v>106</v>
      </c>
      <c r="D23" s="76" t="s">
        <v>128</v>
      </c>
      <c r="E23" s="76"/>
      <c r="F23" s="76"/>
      <c r="G23" s="20">
        <f>G24+G28</f>
        <v>12947.400000000001</v>
      </c>
      <c r="H23" s="20">
        <f t="shared" ref="H23:I23" si="3">H24+H28</f>
        <v>13101.800000000003</v>
      </c>
      <c r="I23" s="20">
        <f t="shared" si="3"/>
        <v>13256.900000000003</v>
      </c>
      <c r="J23" s="626"/>
      <c r="K23" s="620"/>
      <c r="L23" s="57"/>
    </row>
    <row r="24" spans="1:16" ht="63.75" x14ac:dyDescent="0.2">
      <c r="A24" s="45" t="s">
        <v>129</v>
      </c>
      <c r="B24" s="64">
        <v>220</v>
      </c>
      <c r="C24" s="78" t="s">
        <v>106</v>
      </c>
      <c r="D24" s="78" t="s">
        <v>128</v>
      </c>
      <c r="E24" s="78" t="s">
        <v>130</v>
      </c>
      <c r="F24" s="78"/>
      <c r="G24" s="11">
        <f>G25</f>
        <v>2536.2999999999997</v>
      </c>
      <c r="H24" s="11">
        <f t="shared" ref="H24:I26" si="4">H25</f>
        <v>2641.5</v>
      </c>
      <c r="I24" s="11">
        <f t="shared" si="4"/>
        <v>2741.4</v>
      </c>
      <c r="J24" s="626"/>
      <c r="K24" s="619"/>
      <c r="L24" s="57"/>
    </row>
    <row r="25" spans="1:16" ht="51" x14ac:dyDescent="0.2">
      <c r="A25" s="45" t="s">
        <v>131</v>
      </c>
      <c r="B25" s="64">
        <v>220</v>
      </c>
      <c r="C25" s="78" t="s">
        <v>106</v>
      </c>
      <c r="D25" s="78" t="s">
        <v>128</v>
      </c>
      <c r="E25" s="78" t="s">
        <v>132</v>
      </c>
      <c r="F25" s="78"/>
      <c r="G25" s="11">
        <f>G26</f>
        <v>2536.2999999999997</v>
      </c>
      <c r="H25" s="11">
        <f t="shared" si="4"/>
        <v>2641.5</v>
      </c>
      <c r="I25" s="11">
        <f t="shared" si="4"/>
        <v>2741.4</v>
      </c>
      <c r="J25" s="626"/>
      <c r="K25" s="619"/>
      <c r="L25" s="57"/>
    </row>
    <row r="26" spans="1:16" ht="89.25" x14ac:dyDescent="0.2">
      <c r="A26" s="45" t="s">
        <v>133</v>
      </c>
      <c r="B26" s="64">
        <v>220</v>
      </c>
      <c r="C26" s="78" t="s">
        <v>106</v>
      </c>
      <c r="D26" s="78" t="s">
        <v>128</v>
      </c>
      <c r="E26" s="78" t="s">
        <v>134</v>
      </c>
      <c r="F26" s="78"/>
      <c r="G26" s="11">
        <f>G27</f>
        <v>2536.2999999999997</v>
      </c>
      <c r="H26" s="11">
        <f t="shared" si="4"/>
        <v>2641.5</v>
      </c>
      <c r="I26" s="11">
        <f t="shared" si="4"/>
        <v>2741.4</v>
      </c>
      <c r="J26" s="626"/>
      <c r="K26" s="619"/>
      <c r="L26" s="57"/>
    </row>
    <row r="27" spans="1:16" ht="38.25" x14ac:dyDescent="0.2">
      <c r="A27" s="17" t="s">
        <v>125</v>
      </c>
      <c r="B27" s="64">
        <v>220</v>
      </c>
      <c r="C27" s="78" t="s">
        <v>106</v>
      </c>
      <c r="D27" s="78" t="s">
        <v>128</v>
      </c>
      <c r="E27" s="78" t="s">
        <v>134</v>
      </c>
      <c r="F27" s="78" t="s">
        <v>126</v>
      </c>
      <c r="G27" s="11">
        <f>сКомУсл!H65</f>
        <v>2536.2999999999997</v>
      </c>
      <c r="H27" s="11">
        <v>2641.5</v>
      </c>
      <c r="I27" s="11">
        <v>2741.4</v>
      </c>
      <c r="J27" s="1047"/>
    </row>
    <row r="28" spans="1:16" x14ac:dyDescent="0.2">
      <c r="A28" s="45" t="s">
        <v>135</v>
      </c>
      <c r="B28" s="64">
        <v>220</v>
      </c>
      <c r="C28" s="78" t="s">
        <v>106</v>
      </c>
      <c r="D28" s="78" t="s">
        <v>128</v>
      </c>
      <c r="E28" s="78" t="s">
        <v>136</v>
      </c>
      <c r="F28" s="78"/>
      <c r="G28" s="11">
        <f>G29</f>
        <v>10411.100000000002</v>
      </c>
      <c r="H28" s="11">
        <f>H29</f>
        <v>10460.300000000003</v>
      </c>
      <c r="I28" s="11">
        <f>I29</f>
        <v>10515.500000000004</v>
      </c>
      <c r="J28" s="1049" t="s">
        <v>950</v>
      </c>
      <c r="K28" s="1048"/>
      <c r="L28" s="1048" t="s">
        <v>949</v>
      </c>
      <c r="M28" s="57"/>
    </row>
    <row r="29" spans="1:16" ht="38.25" x14ac:dyDescent="0.2">
      <c r="A29" s="45" t="s">
        <v>111</v>
      </c>
      <c r="B29" s="64">
        <v>220</v>
      </c>
      <c r="C29" s="78" t="s">
        <v>106</v>
      </c>
      <c r="D29" s="78" t="s">
        <v>128</v>
      </c>
      <c r="E29" s="78" t="s">
        <v>137</v>
      </c>
      <c r="F29" s="78"/>
      <c r="G29" s="11">
        <f>G31+G30+G32</f>
        <v>10411.100000000002</v>
      </c>
      <c r="H29" s="11">
        <f>H31+H30+H32</f>
        <v>10460.300000000003</v>
      </c>
      <c r="I29" s="11">
        <f>I31+I30+I32</f>
        <v>10515.500000000004</v>
      </c>
      <c r="J29" s="1010">
        <v>-29811.9</v>
      </c>
      <c r="K29" s="619" t="s">
        <v>940</v>
      </c>
      <c r="L29" s="80"/>
      <c r="M29" s="80"/>
    </row>
    <row r="30" spans="1:16" ht="78" customHeight="1" x14ac:dyDescent="0.2">
      <c r="A30" s="45" t="s">
        <v>113</v>
      </c>
      <c r="B30" s="64">
        <v>220</v>
      </c>
      <c r="C30" s="78" t="s">
        <v>106</v>
      </c>
      <c r="D30" s="78" t="s">
        <v>128</v>
      </c>
      <c r="E30" s="78" t="s">
        <v>137</v>
      </c>
      <c r="F30" s="78" t="s">
        <v>114</v>
      </c>
      <c r="G30" s="11">
        <f>сЗП!H65</f>
        <v>8916.3000000000029</v>
      </c>
      <c r="H30" s="11">
        <f>G30</f>
        <v>8916.3000000000029</v>
      </c>
      <c r="I30" s="11">
        <f>G30</f>
        <v>8916.3000000000029</v>
      </c>
      <c r="J30" s="1010">
        <v>36700</v>
      </c>
      <c r="K30" s="1063" t="s">
        <v>938</v>
      </c>
      <c r="L30" s="1063"/>
      <c r="M30" s="1063"/>
      <c r="N30" s="1063"/>
      <c r="O30" s="1063"/>
      <c r="P30" s="1063"/>
    </row>
    <row r="31" spans="1:16" ht="38.25" x14ac:dyDescent="0.2">
      <c r="A31" s="17" t="s">
        <v>125</v>
      </c>
      <c r="B31" s="64">
        <v>220</v>
      </c>
      <c r="C31" s="78" t="s">
        <v>106</v>
      </c>
      <c r="D31" s="78" t="s">
        <v>128</v>
      </c>
      <c r="E31" s="78" t="s">
        <v>137</v>
      </c>
      <c r="F31" s="78" t="s">
        <v>126</v>
      </c>
      <c r="G31" s="11">
        <f>сАУП!H65</f>
        <v>1329.8</v>
      </c>
      <c r="H31" s="11">
        <f>ROUND((G31*1.037),1)</f>
        <v>1379</v>
      </c>
      <c r="I31" s="11">
        <f>ROUND((H31*1.04),1)</f>
        <v>1434.2</v>
      </c>
      <c r="J31" s="627"/>
      <c r="K31" s="1063"/>
      <c r="L31" s="1063"/>
      <c r="M31" s="1063"/>
      <c r="N31" s="1063"/>
      <c r="O31" s="1063"/>
      <c r="P31" s="1063"/>
    </row>
    <row r="32" spans="1:16" x14ac:dyDescent="0.2">
      <c r="A32" s="45" t="s">
        <v>138</v>
      </c>
      <c r="B32" s="64">
        <v>220</v>
      </c>
      <c r="C32" s="78" t="s">
        <v>106</v>
      </c>
      <c r="D32" s="78" t="s">
        <v>128</v>
      </c>
      <c r="E32" s="78" t="s">
        <v>137</v>
      </c>
      <c r="F32" s="78" t="s">
        <v>139</v>
      </c>
      <c r="G32" s="11">
        <f>сАУП!H66</f>
        <v>165</v>
      </c>
      <c r="H32" s="11">
        <f>G32</f>
        <v>165</v>
      </c>
      <c r="I32" s="11">
        <f>G32</f>
        <v>165</v>
      </c>
      <c r="J32" s="1014">
        <f>-10000-20992</f>
        <v>-30992</v>
      </c>
      <c r="K32" s="1064"/>
      <c r="L32" s="1064"/>
      <c r="M32" s="1064"/>
      <c r="N32" s="1064"/>
      <c r="O32" s="1064"/>
      <c r="P32" s="1064"/>
    </row>
    <row r="33" spans="1:13" ht="51" x14ac:dyDescent="0.2">
      <c r="A33" s="67" t="s">
        <v>140</v>
      </c>
      <c r="B33" s="75">
        <v>220</v>
      </c>
      <c r="C33" s="76" t="s">
        <v>106</v>
      </c>
      <c r="D33" s="76" t="s">
        <v>141</v>
      </c>
      <c r="E33" s="78"/>
      <c r="F33" s="78"/>
      <c r="G33" s="20">
        <f>G34</f>
        <v>483.4</v>
      </c>
      <c r="H33" s="20">
        <f t="shared" ref="H33:I35" si="5">H34</f>
        <v>483.4</v>
      </c>
      <c r="I33" s="20">
        <f t="shared" si="5"/>
        <v>483.4</v>
      </c>
      <c r="J33" s="626"/>
      <c r="K33" s="619"/>
      <c r="L33" s="57"/>
      <c r="M33" s="57"/>
    </row>
    <row r="34" spans="1:13" x14ac:dyDescent="0.2">
      <c r="A34" s="45" t="s">
        <v>142</v>
      </c>
      <c r="B34" s="64">
        <v>220</v>
      </c>
      <c r="C34" s="78" t="s">
        <v>106</v>
      </c>
      <c r="D34" s="78" t="s">
        <v>141</v>
      </c>
      <c r="E34" s="78" t="s">
        <v>143</v>
      </c>
      <c r="F34" s="78"/>
      <c r="G34" s="11">
        <f>G35</f>
        <v>483.4</v>
      </c>
      <c r="H34" s="11">
        <f t="shared" si="5"/>
        <v>483.4</v>
      </c>
      <c r="I34" s="11">
        <f t="shared" si="5"/>
        <v>483.4</v>
      </c>
      <c r="J34" s="626"/>
      <c r="K34" s="619"/>
      <c r="L34" s="57"/>
    </row>
    <row r="35" spans="1:13" ht="127.5" x14ac:dyDescent="0.2">
      <c r="A35" s="45" t="s">
        <v>611</v>
      </c>
      <c r="B35" s="64">
        <v>220</v>
      </c>
      <c r="C35" s="78" t="s">
        <v>106</v>
      </c>
      <c r="D35" s="78" t="s">
        <v>141</v>
      </c>
      <c r="E35" s="78" t="s">
        <v>144</v>
      </c>
      <c r="F35" s="78"/>
      <c r="G35" s="11">
        <f>G36</f>
        <v>483.4</v>
      </c>
      <c r="H35" s="11">
        <f t="shared" si="5"/>
        <v>483.4</v>
      </c>
      <c r="I35" s="11">
        <f>H35</f>
        <v>483.4</v>
      </c>
      <c r="J35" s="628"/>
      <c r="K35" s="619"/>
      <c r="L35" s="57"/>
    </row>
    <row r="36" spans="1:13" x14ac:dyDescent="0.2">
      <c r="A36" s="45" t="s">
        <v>145</v>
      </c>
      <c r="B36" s="64">
        <v>220</v>
      </c>
      <c r="C36" s="78" t="s">
        <v>106</v>
      </c>
      <c r="D36" s="78" t="s">
        <v>141</v>
      </c>
      <c r="E36" s="78" t="s">
        <v>144</v>
      </c>
      <c r="F36" s="78" t="s">
        <v>146</v>
      </c>
      <c r="G36" s="11">
        <f>сКСП!H65</f>
        <v>483.4</v>
      </c>
      <c r="H36" s="11">
        <f>G36</f>
        <v>483.4</v>
      </c>
      <c r="I36" s="11">
        <f>G36</f>
        <v>483.4</v>
      </c>
      <c r="J36" s="627"/>
      <c r="K36" s="619"/>
      <c r="L36" s="57"/>
    </row>
    <row r="37" spans="1:13" ht="25.5" x14ac:dyDescent="0.2">
      <c r="A37" s="67" t="s">
        <v>702</v>
      </c>
      <c r="B37" s="75">
        <v>220</v>
      </c>
      <c r="C37" s="76" t="s">
        <v>106</v>
      </c>
      <c r="D37" s="76" t="s">
        <v>701</v>
      </c>
      <c r="E37" s="76"/>
      <c r="F37" s="76"/>
      <c r="G37" s="20">
        <f>G38</f>
        <v>0</v>
      </c>
      <c r="H37" s="20">
        <f t="shared" ref="H37:I39" si="6">H38</f>
        <v>200</v>
      </c>
      <c r="I37" s="20">
        <f t="shared" si="6"/>
        <v>0</v>
      </c>
      <c r="J37" s="627"/>
      <c r="K37" s="619"/>
      <c r="L37" s="57"/>
    </row>
    <row r="38" spans="1:13" x14ac:dyDescent="0.2">
      <c r="A38" s="45" t="s">
        <v>142</v>
      </c>
      <c r="B38" s="64">
        <v>220</v>
      </c>
      <c r="C38" s="78" t="s">
        <v>106</v>
      </c>
      <c r="D38" s="78" t="s">
        <v>701</v>
      </c>
      <c r="E38" s="78" t="s">
        <v>143</v>
      </c>
      <c r="F38" s="78"/>
      <c r="G38" s="11">
        <f>G39</f>
        <v>0</v>
      </c>
      <c r="H38" s="11">
        <f t="shared" si="6"/>
        <v>200</v>
      </c>
      <c r="I38" s="11">
        <f t="shared" si="6"/>
        <v>0</v>
      </c>
      <c r="J38" s="627"/>
      <c r="K38" s="619"/>
      <c r="L38" s="57"/>
    </row>
    <row r="39" spans="1:13" ht="63.75" x14ac:dyDescent="0.2">
      <c r="A39" s="45" t="s">
        <v>708</v>
      </c>
      <c r="B39" s="64">
        <v>220</v>
      </c>
      <c r="C39" s="78" t="s">
        <v>106</v>
      </c>
      <c r="D39" s="78" t="s">
        <v>701</v>
      </c>
      <c r="E39" s="78" t="s">
        <v>706</v>
      </c>
      <c r="F39" s="78"/>
      <c r="G39" s="11">
        <f>G40</f>
        <v>0</v>
      </c>
      <c r="H39" s="11">
        <f t="shared" si="6"/>
        <v>200</v>
      </c>
      <c r="I39" s="11">
        <f t="shared" si="6"/>
        <v>0</v>
      </c>
      <c r="J39" s="627"/>
      <c r="K39" s="619"/>
      <c r="L39" s="57"/>
    </row>
    <row r="40" spans="1:13" x14ac:dyDescent="0.2">
      <c r="A40" s="45" t="s">
        <v>138</v>
      </c>
      <c r="B40" s="64">
        <v>220</v>
      </c>
      <c r="C40" s="78" t="s">
        <v>106</v>
      </c>
      <c r="D40" s="78" t="s">
        <v>701</v>
      </c>
      <c r="E40" s="78" t="s">
        <v>706</v>
      </c>
      <c r="F40" s="78" t="s">
        <v>139</v>
      </c>
      <c r="G40" s="11">
        <f>сВыборы!H65</f>
        <v>0</v>
      </c>
      <c r="H40" s="11">
        <f>Доходы!D88</f>
        <v>200</v>
      </c>
      <c r="I40" s="11">
        <f>Доходы!E88</f>
        <v>0</v>
      </c>
      <c r="J40" s="627"/>
      <c r="K40" s="48"/>
      <c r="L40" s="57"/>
    </row>
    <row r="41" spans="1:13" x14ac:dyDescent="0.2">
      <c r="A41" s="67" t="s">
        <v>147</v>
      </c>
      <c r="B41" s="75">
        <v>220</v>
      </c>
      <c r="C41" s="76" t="s">
        <v>106</v>
      </c>
      <c r="D41" s="76" t="s">
        <v>148</v>
      </c>
      <c r="E41" s="76"/>
      <c r="F41" s="76"/>
      <c r="G41" s="20">
        <f t="shared" ref="G41:I42" si="7">G43</f>
        <v>10</v>
      </c>
      <c r="H41" s="20">
        <f t="shared" si="7"/>
        <v>10</v>
      </c>
      <c r="I41" s="20">
        <f t="shared" si="7"/>
        <v>10</v>
      </c>
      <c r="J41" s="627"/>
      <c r="K41" s="619"/>
      <c r="L41" s="57"/>
    </row>
    <row r="42" spans="1:13" ht="25.5" x14ac:dyDescent="0.2">
      <c r="A42" s="45" t="s">
        <v>149</v>
      </c>
      <c r="B42" s="64">
        <v>220</v>
      </c>
      <c r="C42" s="78" t="s">
        <v>106</v>
      </c>
      <c r="D42" s="78" t="s">
        <v>148</v>
      </c>
      <c r="E42" s="78" t="s">
        <v>150</v>
      </c>
      <c r="F42" s="78"/>
      <c r="G42" s="11">
        <f t="shared" si="7"/>
        <v>10</v>
      </c>
      <c r="H42" s="11">
        <f t="shared" si="7"/>
        <v>10</v>
      </c>
      <c r="I42" s="11">
        <f t="shared" si="7"/>
        <v>10</v>
      </c>
      <c r="J42" s="617"/>
      <c r="K42" s="619"/>
      <c r="L42" s="57"/>
    </row>
    <row r="43" spans="1:13" x14ac:dyDescent="0.2">
      <c r="A43" s="45" t="s">
        <v>151</v>
      </c>
      <c r="B43" s="64">
        <v>220</v>
      </c>
      <c r="C43" s="78" t="s">
        <v>106</v>
      </c>
      <c r="D43" s="78" t="s">
        <v>148</v>
      </c>
      <c r="E43" s="78" t="s">
        <v>152</v>
      </c>
      <c r="F43" s="78"/>
      <c r="G43" s="11">
        <f>G42</f>
        <v>10</v>
      </c>
      <c r="H43" s="11">
        <f>H42</f>
        <v>10</v>
      </c>
      <c r="I43" s="11">
        <f>I42</f>
        <v>10</v>
      </c>
      <c r="J43" s="628"/>
      <c r="K43" s="619"/>
      <c r="L43" s="57"/>
    </row>
    <row r="44" spans="1:13" x14ac:dyDescent="0.2">
      <c r="A44" s="45" t="s">
        <v>138</v>
      </c>
      <c r="B44" s="64">
        <v>220</v>
      </c>
      <c r="C44" s="78" t="s">
        <v>106</v>
      </c>
      <c r="D44" s="78" t="s">
        <v>148</v>
      </c>
      <c r="E44" s="78" t="s">
        <v>152</v>
      </c>
      <c r="F44" s="78" t="s">
        <v>139</v>
      </c>
      <c r="G44" s="11">
        <f>сРезерв!H65</f>
        <v>10</v>
      </c>
      <c r="H44" s="11">
        <f>G44</f>
        <v>10</v>
      </c>
      <c r="I44" s="11">
        <f>G44</f>
        <v>10</v>
      </c>
      <c r="J44" s="628"/>
      <c r="K44" s="621"/>
      <c r="L44" s="57"/>
    </row>
    <row r="45" spans="1:13" x14ac:dyDescent="0.2">
      <c r="A45" s="67" t="s">
        <v>153</v>
      </c>
      <c r="B45" s="64">
        <v>220</v>
      </c>
      <c r="C45" s="76" t="s">
        <v>106</v>
      </c>
      <c r="D45" s="76" t="s">
        <v>154</v>
      </c>
      <c r="E45" s="78"/>
      <c r="F45" s="78"/>
      <c r="G45" s="20">
        <f>G46+G50+G53</f>
        <v>1404.6</v>
      </c>
      <c r="H45" s="20">
        <f>H46+H50+H53</f>
        <v>790.19999999999982</v>
      </c>
      <c r="I45" s="20">
        <f>I46+I50+I53</f>
        <v>805.79999999999973</v>
      </c>
      <c r="J45" s="628"/>
      <c r="K45" s="619"/>
      <c r="L45" s="57"/>
    </row>
    <row r="46" spans="1:13" ht="63.75" x14ac:dyDescent="0.2">
      <c r="A46" s="45" t="s">
        <v>129</v>
      </c>
      <c r="B46" s="64">
        <v>220</v>
      </c>
      <c r="C46" s="78" t="s">
        <v>106</v>
      </c>
      <c r="D46" s="78" t="s">
        <v>154</v>
      </c>
      <c r="E46" s="78" t="s">
        <v>130</v>
      </c>
      <c r="F46" s="78"/>
      <c r="G46" s="11">
        <f>G47</f>
        <v>692.69999999999993</v>
      </c>
      <c r="H46" s="11">
        <f t="shared" ref="H46:I46" si="8">H47</f>
        <v>415.19999999999982</v>
      </c>
      <c r="I46" s="11">
        <f t="shared" si="8"/>
        <v>430.79999999999973</v>
      </c>
      <c r="J46" s="628"/>
      <c r="K46" s="619"/>
      <c r="L46" s="57"/>
    </row>
    <row r="47" spans="1:13" ht="51" x14ac:dyDescent="0.2">
      <c r="A47" s="45" t="s">
        <v>131</v>
      </c>
      <c r="B47" s="64">
        <v>220</v>
      </c>
      <c r="C47" s="78" t="s">
        <v>106</v>
      </c>
      <c r="D47" s="78" t="s">
        <v>154</v>
      </c>
      <c r="E47" s="78" t="s">
        <v>132</v>
      </c>
      <c r="F47" s="78"/>
      <c r="G47" s="11">
        <f t="shared" ref="G47:I48" si="9">G48</f>
        <v>692.69999999999993</v>
      </c>
      <c r="H47" s="11">
        <f t="shared" si="9"/>
        <v>415.19999999999982</v>
      </c>
      <c r="I47" s="11">
        <f t="shared" si="9"/>
        <v>430.79999999999973</v>
      </c>
      <c r="J47" s="628"/>
      <c r="K47" s="619"/>
      <c r="L47" s="57"/>
    </row>
    <row r="48" spans="1:13" ht="63.75" x14ac:dyDescent="0.2">
      <c r="A48" s="45" t="s">
        <v>155</v>
      </c>
      <c r="B48" s="64">
        <v>220</v>
      </c>
      <c r="C48" s="78" t="s">
        <v>106</v>
      </c>
      <c r="D48" s="78" t="s">
        <v>154</v>
      </c>
      <c r="E48" s="78" t="s">
        <v>134</v>
      </c>
      <c r="F48" s="78"/>
      <c r="G48" s="11">
        <f t="shared" si="9"/>
        <v>692.69999999999993</v>
      </c>
      <c r="H48" s="11">
        <f t="shared" si="9"/>
        <v>415.19999999999982</v>
      </c>
      <c r="I48" s="11">
        <f t="shared" si="9"/>
        <v>430.79999999999973</v>
      </c>
      <c r="J48" s="628"/>
      <c r="K48" s="619"/>
      <c r="L48" s="57"/>
    </row>
    <row r="49" spans="1:13" ht="38.25" x14ac:dyDescent="0.2">
      <c r="A49" s="17" t="s">
        <v>125</v>
      </c>
      <c r="B49" s="64">
        <v>220</v>
      </c>
      <c r="C49" s="78" t="s">
        <v>106</v>
      </c>
      <c r="D49" s="78" t="s">
        <v>154</v>
      </c>
      <c r="E49" s="78" t="s">
        <v>134</v>
      </c>
      <c r="F49" s="78" t="s">
        <v>126</v>
      </c>
      <c r="G49" s="11">
        <f>сДругие!H65</f>
        <v>692.69999999999993</v>
      </c>
      <c r="H49" s="11">
        <f>3056.7-2641.5</f>
        <v>415.19999999999982</v>
      </c>
      <c r="I49" s="11">
        <f>3172.2-2741.4</f>
        <v>430.79999999999973</v>
      </c>
      <c r="J49" s="628"/>
      <c r="K49" s="48"/>
      <c r="L49" s="46"/>
      <c r="M49" s="46"/>
    </row>
    <row r="50" spans="1:13" ht="25.5" x14ac:dyDescent="0.2">
      <c r="A50" s="45" t="s">
        <v>156</v>
      </c>
      <c r="B50" s="64">
        <v>220</v>
      </c>
      <c r="C50" s="78" t="s">
        <v>106</v>
      </c>
      <c r="D50" s="78" t="s">
        <v>154</v>
      </c>
      <c r="E50" s="78" t="s">
        <v>157</v>
      </c>
      <c r="F50" s="78"/>
      <c r="G50" s="11">
        <f t="shared" ref="G50:I51" si="10">G51</f>
        <v>55</v>
      </c>
      <c r="H50" s="11">
        <f t="shared" si="10"/>
        <v>55</v>
      </c>
      <c r="I50" s="11">
        <f t="shared" si="10"/>
        <v>55</v>
      </c>
      <c r="J50" s="628"/>
      <c r="K50" s="619"/>
      <c r="L50" s="57"/>
    </row>
    <row r="51" spans="1:13" ht="63.75" x14ac:dyDescent="0.2">
      <c r="A51" s="45" t="s">
        <v>158</v>
      </c>
      <c r="B51" s="64">
        <v>220</v>
      </c>
      <c r="C51" s="78" t="s">
        <v>106</v>
      </c>
      <c r="D51" s="78" t="s">
        <v>154</v>
      </c>
      <c r="E51" s="78" t="s">
        <v>159</v>
      </c>
      <c r="F51" s="78"/>
      <c r="G51" s="11">
        <f t="shared" si="10"/>
        <v>55</v>
      </c>
      <c r="H51" s="11">
        <f t="shared" si="10"/>
        <v>55</v>
      </c>
      <c r="I51" s="11">
        <f t="shared" si="10"/>
        <v>55</v>
      </c>
      <c r="J51" s="628"/>
      <c r="K51" s="619"/>
      <c r="L51" s="57"/>
    </row>
    <row r="52" spans="1:13" ht="38.25" x14ac:dyDescent="0.2">
      <c r="A52" s="17" t="s">
        <v>125</v>
      </c>
      <c r="B52" s="64">
        <v>220</v>
      </c>
      <c r="C52" s="78" t="s">
        <v>106</v>
      </c>
      <c r="D52" s="78" t="s">
        <v>154</v>
      </c>
      <c r="E52" s="78" t="s">
        <v>159</v>
      </c>
      <c r="F52" s="78" t="s">
        <v>126</v>
      </c>
      <c r="G52" s="11">
        <f>сДругие!H66</f>
        <v>55</v>
      </c>
      <c r="H52" s="11">
        <f>G52</f>
        <v>55</v>
      </c>
      <c r="I52" s="11">
        <f>G52</f>
        <v>55</v>
      </c>
      <c r="J52" s="628"/>
      <c r="K52" s="619"/>
      <c r="L52" s="57"/>
    </row>
    <row r="53" spans="1:13" x14ac:dyDescent="0.2">
      <c r="A53" s="45" t="s">
        <v>142</v>
      </c>
      <c r="B53" s="64">
        <v>220</v>
      </c>
      <c r="C53" s="78" t="s">
        <v>106</v>
      </c>
      <c r="D53" s="78" t="s">
        <v>154</v>
      </c>
      <c r="E53" s="78" t="s">
        <v>143</v>
      </c>
      <c r="F53" s="81"/>
      <c r="G53" s="11">
        <f>G54+G56+G58</f>
        <v>656.9</v>
      </c>
      <c r="H53" s="11">
        <f t="shared" ref="H53:I53" si="11">H54+H56+H58</f>
        <v>320</v>
      </c>
      <c r="I53" s="11">
        <f t="shared" si="11"/>
        <v>320</v>
      </c>
      <c r="J53" s="628"/>
      <c r="K53" s="619"/>
      <c r="L53" s="57"/>
    </row>
    <row r="54" spans="1:13" ht="38.25" x14ac:dyDescent="0.2">
      <c r="A54" s="45" t="s">
        <v>160</v>
      </c>
      <c r="B54" s="64">
        <v>220</v>
      </c>
      <c r="C54" s="78" t="s">
        <v>106</v>
      </c>
      <c r="D54" s="78" t="s">
        <v>154</v>
      </c>
      <c r="E54" s="78" t="s">
        <v>161</v>
      </c>
      <c r="F54" s="78"/>
      <c r="G54" s="11">
        <f t="shared" ref="G54:I54" si="12">G55</f>
        <v>320</v>
      </c>
      <c r="H54" s="11">
        <f t="shared" si="12"/>
        <v>320</v>
      </c>
      <c r="I54" s="11">
        <f t="shared" si="12"/>
        <v>320</v>
      </c>
      <c r="J54" s="628"/>
      <c r="K54" s="619"/>
      <c r="L54" s="57"/>
    </row>
    <row r="55" spans="1:13" x14ac:dyDescent="0.2">
      <c r="A55" s="45" t="s">
        <v>138</v>
      </c>
      <c r="B55" s="64">
        <v>220</v>
      </c>
      <c r="C55" s="78" t="s">
        <v>106</v>
      </c>
      <c r="D55" s="78" t="s">
        <v>154</v>
      </c>
      <c r="E55" s="78" t="s">
        <v>161</v>
      </c>
      <c r="F55" s="78" t="s">
        <v>139</v>
      </c>
      <c r="G55" s="11">
        <f>сДругие!H67</f>
        <v>320</v>
      </c>
      <c r="H55" s="11">
        <f>G55</f>
        <v>320</v>
      </c>
      <c r="I55" s="11">
        <f>G55</f>
        <v>320</v>
      </c>
      <c r="J55" s="628"/>
      <c r="K55" s="622"/>
      <c r="L55" s="57"/>
    </row>
    <row r="56" spans="1:13" ht="38.25" x14ac:dyDescent="0.2">
      <c r="A56" s="45" t="s">
        <v>828</v>
      </c>
      <c r="B56" s="64">
        <v>220</v>
      </c>
      <c r="C56" s="78" t="s">
        <v>106</v>
      </c>
      <c r="D56" s="78" t="s">
        <v>154</v>
      </c>
      <c r="E56" s="78" t="s">
        <v>836</v>
      </c>
      <c r="F56" s="78"/>
      <c r="G56" s="11">
        <f>G57</f>
        <v>281.89999999999998</v>
      </c>
      <c r="H56" s="11">
        <f t="shared" ref="H56:I56" si="13">H57</f>
        <v>0</v>
      </c>
      <c r="I56" s="11">
        <f t="shared" si="13"/>
        <v>0</v>
      </c>
      <c r="J56" s="628"/>
      <c r="K56" s="622"/>
      <c r="L56" s="57"/>
    </row>
    <row r="57" spans="1:13" ht="38.25" x14ac:dyDescent="0.2">
      <c r="A57" s="17" t="s">
        <v>125</v>
      </c>
      <c r="B57" s="64">
        <v>220</v>
      </c>
      <c r="C57" s="78" t="s">
        <v>106</v>
      </c>
      <c r="D57" s="78" t="s">
        <v>154</v>
      </c>
      <c r="E57" s="78" t="s">
        <v>836</v>
      </c>
      <c r="F57" s="78" t="s">
        <v>126</v>
      </c>
      <c r="G57" s="11">
        <f>сДругие!H68</f>
        <v>281.89999999999998</v>
      </c>
      <c r="H57" s="11">
        <v>0</v>
      </c>
      <c r="I57" s="11">
        <v>0</v>
      </c>
      <c r="J57" s="1019">
        <v>-17733.37</v>
      </c>
      <c r="K57" s="622"/>
      <c r="L57" s="57"/>
    </row>
    <row r="58" spans="1:13" ht="38.25" x14ac:dyDescent="0.2">
      <c r="A58" s="45" t="s">
        <v>866</v>
      </c>
      <c r="B58" s="64">
        <v>220</v>
      </c>
      <c r="C58" s="78" t="s">
        <v>106</v>
      </c>
      <c r="D58" s="78" t="s">
        <v>154</v>
      </c>
      <c r="E58" s="78" t="s">
        <v>838</v>
      </c>
      <c r="F58" s="78"/>
      <c r="G58" s="11">
        <f>G59</f>
        <v>55</v>
      </c>
      <c r="H58" s="11">
        <f t="shared" ref="H58:I58" si="14">H59</f>
        <v>0</v>
      </c>
      <c r="I58" s="11">
        <f t="shared" si="14"/>
        <v>0</v>
      </c>
      <c r="J58" s="1019">
        <v>-5000</v>
      </c>
      <c r="K58" s="622"/>
      <c r="L58" s="57"/>
    </row>
    <row r="59" spans="1:13" ht="38.25" x14ac:dyDescent="0.2">
      <c r="A59" s="17" t="s">
        <v>125</v>
      </c>
      <c r="B59" s="64">
        <v>220</v>
      </c>
      <c r="C59" s="78" t="s">
        <v>106</v>
      </c>
      <c r="D59" s="78" t="s">
        <v>154</v>
      </c>
      <c r="E59" s="78" t="s">
        <v>838</v>
      </c>
      <c r="F59" s="78" t="s">
        <v>126</v>
      </c>
      <c r="G59" s="11">
        <f>сДругие!H69</f>
        <v>55</v>
      </c>
      <c r="H59" s="11">
        <v>0</v>
      </c>
      <c r="I59" s="11">
        <v>0</v>
      </c>
      <c r="J59" s="628"/>
      <c r="K59" s="622"/>
      <c r="L59" s="57"/>
    </row>
    <row r="60" spans="1:13" ht="15" x14ac:dyDescent="0.2">
      <c r="A60" s="38" t="s">
        <v>162</v>
      </c>
      <c r="B60" s="82">
        <v>220</v>
      </c>
      <c r="C60" s="73" t="s">
        <v>108</v>
      </c>
      <c r="D60" s="73"/>
      <c r="E60" s="73"/>
      <c r="F60" s="73"/>
      <c r="G60" s="74">
        <f>G61</f>
        <v>62.4</v>
      </c>
      <c r="H60" s="74">
        <f t="shared" ref="H60:I63" si="15">H61</f>
        <v>57.7</v>
      </c>
      <c r="I60" s="74">
        <f t="shared" si="15"/>
        <v>58.6</v>
      </c>
      <c r="J60" s="627"/>
      <c r="K60" s="686"/>
      <c r="L60" s="57"/>
    </row>
    <row r="61" spans="1:13" ht="25.5" x14ac:dyDescent="0.2">
      <c r="A61" s="67" t="s">
        <v>163</v>
      </c>
      <c r="B61" s="75">
        <v>220</v>
      </c>
      <c r="C61" s="76" t="s">
        <v>108</v>
      </c>
      <c r="D61" s="76" t="s">
        <v>116</v>
      </c>
      <c r="E61" s="76"/>
      <c r="F61" s="76"/>
      <c r="G61" s="20">
        <f>G62</f>
        <v>62.4</v>
      </c>
      <c r="H61" s="20">
        <f t="shared" si="15"/>
        <v>57.7</v>
      </c>
      <c r="I61" s="20">
        <f t="shared" si="15"/>
        <v>58.6</v>
      </c>
      <c r="J61" s="629"/>
      <c r="K61" s="619"/>
      <c r="L61" s="57"/>
    </row>
    <row r="62" spans="1:13" ht="25.5" x14ac:dyDescent="0.2">
      <c r="A62" s="45" t="s">
        <v>156</v>
      </c>
      <c r="B62" s="64">
        <v>220</v>
      </c>
      <c r="C62" s="78" t="s">
        <v>108</v>
      </c>
      <c r="D62" s="78" t="s">
        <v>116</v>
      </c>
      <c r="E62" s="78" t="s">
        <v>157</v>
      </c>
      <c r="F62" s="78"/>
      <c r="G62" s="11">
        <f>G63</f>
        <v>62.4</v>
      </c>
      <c r="H62" s="11">
        <f t="shared" si="15"/>
        <v>57.7</v>
      </c>
      <c r="I62" s="11">
        <f t="shared" si="15"/>
        <v>58.6</v>
      </c>
      <c r="J62" s="629"/>
      <c r="K62" s="619"/>
      <c r="L62" s="57"/>
    </row>
    <row r="63" spans="1:13" ht="38.25" x14ac:dyDescent="0.2">
      <c r="A63" s="45" t="s">
        <v>164</v>
      </c>
      <c r="B63" s="64">
        <v>220</v>
      </c>
      <c r="C63" s="78" t="s">
        <v>108</v>
      </c>
      <c r="D63" s="78" t="s">
        <v>116</v>
      </c>
      <c r="E63" s="78" t="s">
        <v>165</v>
      </c>
      <c r="F63" s="78"/>
      <c r="G63" s="11">
        <f>G64</f>
        <v>62.4</v>
      </c>
      <c r="H63" s="11">
        <f t="shared" si="15"/>
        <v>57.7</v>
      </c>
      <c r="I63" s="11">
        <f t="shared" si="15"/>
        <v>58.6</v>
      </c>
      <c r="J63" s="629"/>
      <c r="K63" s="619"/>
      <c r="L63" s="57"/>
    </row>
    <row r="64" spans="1:13" ht="38.25" x14ac:dyDescent="0.2">
      <c r="A64" s="17" t="s">
        <v>125</v>
      </c>
      <c r="B64" s="64">
        <v>220</v>
      </c>
      <c r="C64" s="78" t="s">
        <v>108</v>
      </c>
      <c r="D64" s="78" t="s">
        <v>116</v>
      </c>
      <c r="E64" s="78" t="s">
        <v>165</v>
      </c>
      <c r="F64" s="78" t="s">
        <v>126</v>
      </c>
      <c r="G64" s="11">
        <f>сПВУ!H65</f>
        <v>62.4</v>
      </c>
      <c r="H64" s="11">
        <f>Доходы!D65</f>
        <v>57.7</v>
      </c>
      <c r="I64" s="11">
        <f>Доходы!E65</f>
        <v>58.6</v>
      </c>
      <c r="J64" s="1019">
        <v>4500</v>
      </c>
      <c r="K64" s="1018" t="s">
        <v>937</v>
      </c>
      <c r="L64" s="57"/>
    </row>
    <row r="65" spans="1:13" ht="30" x14ac:dyDescent="0.2">
      <c r="A65" s="38" t="s">
        <v>166</v>
      </c>
      <c r="B65" s="82">
        <v>220</v>
      </c>
      <c r="C65" s="73" t="s">
        <v>116</v>
      </c>
      <c r="D65" s="73"/>
      <c r="E65" s="73"/>
      <c r="F65" s="73"/>
      <c r="G65" s="74">
        <f>G66</f>
        <v>233.2</v>
      </c>
      <c r="H65" s="74">
        <f t="shared" ref="H65:I65" si="16">H66</f>
        <v>237.7</v>
      </c>
      <c r="I65" s="74">
        <f t="shared" si="16"/>
        <v>242.4</v>
      </c>
      <c r="J65" s="627"/>
      <c r="K65" s="686"/>
      <c r="L65" s="57"/>
    </row>
    <row r="66" spans="1:13" ht="51" x14ac:dyDescent="0.2">
      <c r="A66" s="67" t="s">
        <v>167</v>
      </c>
      <c r="B66" s="75">
        <v>220</v>
      </c>
      <c r="C66" s="76" t="s">
        <v>116</v>
      </c>
      <c r="D66" s="76" t="s">
        <v>168</v>
      </c>
      <c r="E66" s="76"/>
      <c r="F66" s="76"/>
      <c r="G66" s="20">
        <f t="shared" ref="G66:I68" si="17">G67</f>
        <v>233.2</v>
      </c>
      <c r="H66" s="20">
        <f t="shared" si="17"/>
        <v>237.7</v>
      </c>
      <c r="I66" s="20">
        <f t="shared" si="17"/>
        <v>242.4</v>
      </c>
      <c r="J66" s="627"/>
      <c r="K66" s="619"/>
      <c r="L66" s="57"/>
    </row>
    <row r="67" spans="1:13" ht="51" x14ac:dyDescent="0.2">
      <c r="A67" s="45" t="s">
        <v>908</v>
      </c>
      <c r="B67" s="64">
        <v>220</v>
      </c>
      <c r="C67" s="78" t="s">
        <v>116</v>
      </c>
      <c r="D67" s="78" t="s">
        <v>168</v>
      </c>
      <c r="E67" s="78" t="s">
        <v>169</v>
      </c>
      <c r="F67" s="78"/>
      <c r="G67" s="11">
        <f t="shared" si="17"/>
        <v>233.2</v>
      </c>
      <c r="H67" s="11">
        <f t="shared" si="17"/>
        <v>237.7</v>
      </c>
      <c r="I67" s="11">
        <f t="shared" si="17"/>
        <v>242.4</v>
      </c>
      <c r="J67" s="627"/>
      <c r="K67" s="619"/>
      <c r="L67" s="57"/>
    </row>
    <row r="68" spans="1:13" ht="63.75" x14ac:dyDescent="0.2">
      <c r="A68" s="45" t="s">
        <v>909</v>
      </c>
      <c r="B68" s="64">
        <v>220</v>
      </c>
      <c r="C68" s="78" t="s">
        <v>116</v>
      </c>
      <c r="D68" s="78" t="s">
        <v>168</v>
      </c>
      <c r="E68" s="78" t="s">
        <v>170</v>
      </c>
      <c r="F68" s="78"/>
      <c r="G68" s="11">
        <f t="shared" si="17"/>
        <v>233.2</v>
      </c>
      <c r="H68" s="11">
        <f t="shared" si="17"/>
        <v>237.7</v>
      </c>
      <c r="I68" s="11">
        <f t="shared" si="17"/>
        <v>242.4</v>
      </c>
      <c r="J68" s="627"/>
      <c r="K68" s="619"/>
      <c r="L68" s="57"/>
    </row>
    <row r="69" spans="1:13" ht="38.25" x14ac:dyDescent="0.2">
      <c r="A69" s="17" t="s">
        <v>125</v>
      </c>
      <c r="B69" s="64">
        <v>220</v>
      </c>
      <c r="C69" s="78" t="s">
        <v>116</v>
      </c>
      <c r="D69" s="78" t="s">
        <v>168</v>
      </c>
      <c r="E69" s="78" t="s">
        <v>170</v>
      </c>
      <c r="F69" s="78" t="s">
        <v>126</v>
      </c>
      <c r="G69" s="11">
        <f>сГОиЧС!H65</f>
        <v>233.2</v>
      </c>
      <c r="H69" s="11">
        <f>Доходы!D70+Доходы!D73</f>
        <v>237.7</v>
      </c>
      <c r="I69" s="11">
        <f>Доходы!E70+Доходы!E73</f>
        <v>242.4</v>
      </c>
      <c r="J69" s="627"/>
      <c r="K69" s="619"/>
      <c r="L69" s="57"/>
    </row>
    <row r="70" spans="1:13" ht="15" x14ac:dyDescent="0.2">
      <c r="A70" s="38" t="s">
        <v>173</v>
      </c>
      <c r="B70" s="82">
        <v>220</v>
      </c>
      <c r="C70" s="73" t="s">
        <v>128</v>
      </c>
      <c r="D70" s="73"/>
      <c r="E70" s="73"/>
      <c r="F70" s="73"/>
      <c r="G70" s="74">
        <f>G71+G79</f>
        <v>9856.3000000000011</v>
      </c>
      <c r="H70" s="74">
        <f>H71+H79</f>
        <v>5876.2</v>
      </c>
      <c r="I70" s="74">
        <f>I71+I79</f>
        <v>6178.6</v>
      </c>
      <c r="J70" s="627"/>
      <c r="K70" s="686"/>
      <c r="L70" s="83"/>
    </row>
    <row r="71" spans="1:13" ht="25.5" x14ac:dyDescent="0.2">
      <c r="A71" s="67" t="s">
        <v>174</v>
      </c>
      <c r="B71" s="75">
        <v>220</v>
      </c>
      <c r="C71" s="76" t="s">
        <v>128</v>
      </c>
      <c r="D71" s="76" t="s">
        <v>168</v>
      </c>
      <c r="E71" s="76"/>
      <c r="F71" s="76"/>
      <c r="G71" s="20">
        <f>G72+G76</f>
        <v>9856.3000000000011</v>
      </c>
      <c r="H71" s="20">
        <f>H72+H76</f>
        <v>5876.2</v>
      </c>
      <c r="I71" s="20">
        <f>I72+I76</f>
        <v>6178.6</v>
      </c>
      <c r="J71" s="627"/>
      <c r="K71" s="619"/>
      <c r="L71" s="57"/>
    </row>
    <row r="72" spans="1:13" ht="51" x14ac:dyDescent="0.2">
      <c r="A72" s="45" t="s">
        <v>175</v>
      </c>
      <c r="B72" s="64">
        <v>220</v>
      </c>
      <c r="C72" s="78" t="s">
        <v>128</v>
      </c>
      <c r="D72" s="78" t="s">
        <v>168</v>
      </c>
      <c r="E72" s="78" t="s">
        <v>176</v>
      </c>
      <c r="F72" s="78"/>
      <c r="G72" s="11">
        <f t="shared" ref="G72:I74" si="18">G73</f>
        <v>5263.6</v>
      </c>
      <c r="H72" s="11">
        <f t="shared" si="18"/>
        <v>3805.2</v>
      </c>
      <c r="I72" s="11">
        <f t="shared" si="18"/>
        <v>3957.4</v>
      </c>
      <c r="J72" s="627"/>
      <c r="K72" s="619"/>
      <c r="L72" s="57"/>
    </row>
    <row r="73" spans="1:13" ht="51" x14ac:dyDescent="0.2">
      <c r="A73" s="45" t="s">
        <v>177</v>
      </c>
      <c r="B73" s="64">
        <v>220</v>
      </c>
      <c r="C73" s="78" t="s">
        <v>128</v>
      </c>
      <c r="D73" s="78" t="s">
        <v>168</v>
      </c>
      <c r="E73" s="78" t="s">
        <v>178</v>
      </c>
      <c r="F73" s="78"/>
      <c r="G73" s="11">
        <f t="shared" si="18"/>
        <v>5263.6</v>
      </c>
      <c r="H73" s="11">
        <f t="shared" si="18"/>
        <v>3805.2</v>
      </c>
      <c r="I73" s="11">
        <f t="shared" si="18"/>
        <v>3957.4</v>
      </c>
      <c r="J73" s="627"/>
      <c r="K73" s="622"/>
      <c r="L73" s="84"/>
    </row>
    <row r="74" spans="1:13" ht="63.75" x14ac:dyDescent="0.2">
      <c r="A74" s="17" t="s">
        <v>179</v>
      </c>
      <c r="B74" s="64">
        <v>219</v>
      </c>
      <c r="C74" s="78" t="s">
        <v>128</v>
      </c>
      <c r="D74" s="78" t="s">
        <v>168</v>
      </c>
      <c r="E74" s="78" t="s">
        <v>180</v>
      </c>
      <c r="F74" s="78"/>
      <c r="G74" s="11">
        <f t="shared" si="18"/>
        <v>5263.6</v>
      </c>
      <c r="H74" s="11">
        <f t="shared" si="18"/>
        <v>3805.2</v>
      </c>
      <c r="I74" s="11">
        <f t="shared" si="18"/>
        <v>3957.4</v>
      </c>
      <c r="J74" s="627"/>
      <c r="K74" s="622"/>
      <c r="L74" s="85"/>
    </row>
    <row r="75" spans="1:13" ht="38.25" x14ac:dyDescent="0.2">
      <c r="A75" s="17" t="s">
        <v>125</v>
      </c>
      <c r="B75" s="64">
        <v>220</v>
      </c>
      <c r="C75" s="78" t="s">
        <v>128</v>
      </c>
      <c r="D75" s="78" t="s">
        <v>168</v>
      </c>
      <c r="E75" s="78" t="s">
        <v>180</v>
      </c>
      <c r="F75" s="78" t="s">
        <v>126</v>
      </c>
      <c r="G75" s="11">
        <f>сДороги!H65</f>
        <v>5263.6</v>
      </c>
      <c r="H75" s="11">
        <f>Доходы!D77</f>
        <v>3805.2</v>
      </c>
      <c r="I75" s="11">
        <f>Доходы!E77</f>
        <v>3957.4</v>
      </c>
      <c r="J75" s="627"/>
      <c r="K75" s="622"/>
      <c r="L75" s="85"/>
    </row>
    <row r="76" spans="1:13" x14ac:dyDescent="0.2">
      <c r="A76" s="45" t="s">
        <v>142</v>
      </c>
      <c r="B76" s="64">
        <v>220</v>
      </c>
      <c r="C76" s="78" t="s">
        <v>128</v>
      </c>
      <c r="D76" s="78" t="s">
        <v>168</v>
      </c>
      <c r="E76" s="78" t="s">
        <v>143</v>
      </c>
      <c r="F76" s="78"/>
      <c r="G76" s="11">
        <f t="shared" ref="G76:I77" si="19">G77</f>
        <v>4592.7000000000007</v>
      </c>
      <c r="H76" s="11">
        <f t="shared" si="19"/>
        <v>2071</v>
      </c>
      <c r="I76" s="11">
        <f t="shared" si="19"/>
        <v>2221.1999999999998</v>
      </c>
      <c r="J76" s="627"/>
      <c r="K76" s="622"/>
      <c r="L76" s="85"/>
    </row>
    <row r="77" spans="1:13" ht="25.5" x14ac:dyDescent="0.2">
      <c r="A77" s="45" t="s">
        <v>181</v>
      </c>
      <c r="B77" s="64">
        <v>220</v>
      </c>
      <c r="C77" s="78" t="s">
        <v>128</v>
      </c>
      <c r="D77" s="78" t="s">
        <v>168</v>
      </c>
      <c r="E77" s="78" t="s">
        <v>182</v>
      </c>
      <c r="F77" s="78"/>
      <c r="G77" s="11">
        <f t="shared" si="19"/>
        <v>4592.7000000000007</v>
      </c>
      <c r="H77" s="11">
        <f t="shared" si="19"/>
        <v>2071</v>
      </c>
      <c r="I77" s="11">
        <f t="shared" si="19"/>
        <v>2221.1999999999998</v>
      </c>
      <c r="J77" s="627"/>
      <c r="K77" s="622"/>
      <c r="L77" s="85"/>
    </row>
    <row r="78" spans="1:13" ht="38.25" x14ac:dyDescent="0.2">
      <c r="A78" s="17" t="s">
        <v>125</v>
      </c>
      <c r="B78" s="64">
        <v>220</v>
      </c>
      <c r="C78" s="78" t="s">
        <v>128</v>
      </c>
      <c r="D78" s="78" t="s">
        <v>168</v>
      </c>
      <c r="E78" s="78" t="s">
        <v>182</v>
      </c>
      <c r="F78" s="78" t="s">
        <v>126</v>
      </c>
      <c r="G78" s="11">
        <f>сДороги!H66</f>
        <v>4592.7000000000007</v>
      </c>
      <c r="H78" s="11">
        <f>Доходы!D13</f>
        <v>2071</v>
      </c>
      <c r="I78" s="11">
        <f>Доходы!E13</f>
        <v>2221.1999999999998</v>
      </c>
      <c r="J78" s="630"/>
      <c r="K78" s="48"/>
      <c r="L78" s="46"/>
      <c r="M78" s="46"/>
    </row>
    <row r="79" spans="1:13" ht="25.5" x14ac:dyDescent="0.2">
      <c r="A79" s="67" t="s">
        <v>183</v>
      </c>
      <c r="B79" s="75">
        <v>220</v>
      </c>
      <c r="C79" s="76" t="s">
        <v>128</v>
      </c>
      <c r="D79" s="76" t="s">
        <v>184</v>
      </c>
      <c r="E79" s="76"/>
      <c r="F79" s="76"/>
      <c r="G79" s="20">
        <f>G80+G83</f>
        <v>0</v>
      </c>
      <c r="H79" s="20">
        <f t="shared" ref="H79:I79" si="20">H80+H83</f>
        <v>0</v>
      </c>
      <c r="I79" s="20">
        <f t="shared" si="20"/>
        <v>0</v>
      </c>
      <c r="J79" s="630"/>
      <c r="K79" s="48"/>
      <c r="L79" s="57"/>
    </row>
    <row r="80" spans="1:13" ht="76.5" x14ac:dyDescent="0.2">
      <c r="A80" s="45" t="s">
        <v>772</v>
      </c>
      <c r="B80" s="64">
        <v>220</v>
      </c>
      <c r="C80" s="78" t="s">
        <v>128</v>
      </c>
      <c r="D80" s="78" t="s">
        <v>184</v>
      </c>
      <c r="E80" s="78" t="s">
        <v>771</v>
      </c>
      <c r="F80" s="78"/>
      <c r="G80" s="11">
        <f>G81</f>
        <v>0</v>
      </c>
      <c r="H80" s="11">
        <f t="shared" ref="H80:I81" si="21">H81</f>
        <v>0</v>
      </c>
      <c r="I80" s="11">
        <f t="shared" si="21"/>
        <v>0</v>
      </c>
      <c r="J80" s="630"/>
      <c r="K80" s="48"/>
      <c r="L80" s="57"/>
    </row>
    <row r="81" spans="1:16" ht="76.5" x14ac:dyDescent="0.2">
      <c r="A81" s="17" t="s">
        <v>773</v>
      </c>
      <c r="B81" s="64">
        <v>220</v>
      </c>
      <c r="C81" s="78" t="s">
        <v>128</v>
      </c>
      <c r="D81" s="78" t="s">
        <v>184</v>
      </c>
      <c r="E81" s="78" t="s">
        <v>769</v>
      </c>
      <c r="F81" s="78"/>
      <c r="G81" s="11">
        <f>G82</f>
        <v>0</v>
      </c>
      <c r="H81" s="11">
        <f t="shared" si="21"/>
        <v>0</v>
      </c>
      <c r="I81" s="11">
        <f t="shared" si="21"/>
        <v>0</v>
      </c>
      <c r="J81" s="630"/>
      <c r="K81" s="48"/>
      <c r="L81" s="57"/>
    </row>
    <row r="82" spans="1:16" ht="25.5" x14ac:dyDescent="0.2">
      <c r="A82" s="17" t="s">
        <v>204</v>
      </c>
      <c r="B82" s="64">
        <v>220</v>
      </c>
      <c r="C82" s="78" t="s">
        <v>128</v>
      </c>
      <c r="D82" s="78" t="s">
        <v>184</v>
      </c>
      <c r="E82" s="78" t="s">
        <v>769</v>
      </c>
      <c r="F82" s="78" t="s">
        <v>126</v>
      </c>
      <c r="G82" s="11">
        <f>сНацЭкон!H66</f>
        <v>0</v>
      </c>
      <c r="H82" s="11">
        <f>G82</f>
        <v>0</v>
      </c>
      <c r="I82" s="11">
        <f>G82</f>
        <v>0</v>
      </c>
      <c r="J82" s="1041">
        <v>-10000</v>
      </c>
      <c r="K82" s="48" t="s">
        <v>939</v>
      </c>
      <c r="L82" s="57"/>
    </row>
    <row r="83" spans="1:16" x14ac:dyDescent="0.2">
      <c r="A83" s="17" t="s">
        <v>142</v>
      </c>
      <c r="B83" s="64">
        <v>220</v>
      </c>
      <c r="C83" s="78" t="s">
        <v>128</v>
      </c>
      <c r="D83" s="78" t="s">
        <v>184</v>
      </c>
      <c r="E83" s="78" t="s">
        <v>143</v>
      </c>
      <c r="F83" s="78"/>
      <c r="G83" s="11">
        <f>G84</f>
        <v>0</v>
      </c>
      <c r="H83" s="11">
        <f>H84</f>
        <v>0</v>
      </c>
      <c r="I83" s="11">
        <f>I84</f>
        <v>0</v>
      </c>
      <c r="J83" s="630"/>
      <c r="K83" s="48"/>
      <c r="L83" s="57"/>
    </row>
    <row r="84" spans="1:16" ht="25.5" x14ac:dyDescent="0.2">
      <c r="A84" s="45" t="s">
        <v>590</v>
      </c>
      <c r="B84" s="64">
        <v>220</v>
      </c>
      <c r="C84" s="78" t="s">
        <v>128</v>
      </c>
      <c r="D84" s="78" t="s">
        <v>184</v>
      </c>
      <c r="E84" s="78" t="s">
        <v>666</v>
      </c>
      <c r="F84" s="78"/>
      <c r="G84" s="11">
        <f>G85</f>
        <v>0</v>
      </c>
      <c r="H84" s="11">
        <f t="shared" ref="H84:I84" si="22">H85</f>
        <v>0</v>
      </c>
      <c r="I84" s="11">
        <f t="shared" si="22"/>
        <v>0</v>
      </c>
      <c r="J84" s="630"/>
      <c r="K84" s="623"/>
      <c r="L84" s="57"/>
    </row>
    <row r="85" spans="1:16" ht="38.25" x14ac:dyDescent="0.2">
      <c r="A85" s="17" t="s">
        <v>125</v>
      </c>
      <c r="B85" s="64">
        <v>220</v>
      </c>
      <c r="C85" s="78" t="s">
        <v>128</v>
      </c>
      <c r="D85" s="78" t="s">
        <v>184</v>
      </c>
      <c r="E85" s="78" t="s">
        <v>666</v>
      </c>
      <c r="F85" s="78" t="s">
        <v>126</v>
      </c>
      <c r="G85" s="11">
        <f>сНацЭкон!H65</f>
        <v>0</v>
      </c>
      <c r="H85" s="11">
        <v>0</v>
      </c>
      <c r="I85" s="11">
        <v>0</v>
      </c>
      <c r="J85" s="653"/>
      <c r="K85" s="1064"/>
      <c r="L85" s="1064"/>
      <c r="M85" s="1064"/>
      <c r="N85" s="1064"/>
      <c r="O85" s="1064"/>
      <c r="P85" s="1064"/>
    </row>
    <row r="86" spans="1:16" ht="30" x14ac:dyDescent="0.2">
      <c r="A86" s="38" t="s">
        <v>188</v>
      </c>
      <c r="B86" s="82">
        <v>220</v>
      </c>
      <c r="C86" s="73" t="s">
        <v>189</v>
      </c>
      <c r="D86" s="73"/>
      <c r="E86" s="73"/>
      <c r="F86" s="73"/>
      <c r="G86" s="74">
        <f>G87+G91+G96+G109</f>
        <v>1098.5</v>
      </c>
      <c r="H86" s="74">
        <f>H87+H91+H96+H109</f>
        <v>1133.6999999999998</v>
      </c>
      <c r="I86" s="74">
        <f>I87+I91+I96+I109</f>
        <v>1168.0999999999999</v>
      </c>
      <c r="J86" s="631"/>
      <c r="K86" s="686"/>
      <c r="L86" s="57"/>
    </row>
    <row r="87" spans="1:16" x14ac:dyDescent="0.2">
      <c r="A87" s="67" t="s">
        <v>190</v>
      </c>
      <c r="B87" s="75">
        <v>220</v>
      </c>
      <c r="C87" s="76" t="s">
        <v>189</v>
      </c>
      <c r="D87" s="76" t="s">
        <v>106</v>
      </c>
      <c r="E87" s="76"/>
      <c r="F87" s="76"/>
      <c r="G87" s="20">
        <f>G88</f>
        <v>183.70000000000002</v>
      </c>
      <c r="H87" s="20">
        <f t="shared" ref="H87:I87" si="23">H88</f>
        <v>200</v>
      </c>
      <c r="I87" s="20">
        <f t="shared" si="23"/>
        <v>200</v>
      </c>
      <c r="J87" s="631"/>
      <c r="K87" s="619"/>
      <c r="L87" s="57"/>
    </row>
    <row r="88" spans="1:16" x14ac:dyDescent="0.2">
      <c r="A88" s="17" t="s">
        <v>142</v>
      </c>
      <c r="B88" s="64">
        <v>220</v>
      </c>
      <c r="C88" s="78" t="s">
        <v>189</v>
      </c>
      <c r="D88" s="78" t="s">
        <v>106</v>
      </c>
      <c r="E88" s="78" t="s">
        <v>143</v>
      </c>
      <c r="F88" s="78"/>
      <c r="G88" s="11">
        <f t="shared" ref="G88:I89" si="24">G89</f>
        <v>183.70000000000002</v>
      </c>
      <c r="H88" s="11">
        <f t="shared" si="24"/>
        <v>200</v>
      </c>
      <c r="I88" s="11">
        <f t="shared" si="24"/>
        <v>200</v>
      </c>
      <c r="J88" s="631"/>
      <c r="K88" s="619"/>
      <c r="L88" s="57"/>
    </row>
    <row r="89" spans="1:16" ht="25.5" x14ac:dyDescent="0.2">
      <c r="A89" s="17" t="s">
        <v>191</v>
      </c>
      <c r="B89" s="64">
        <v>220</v>
      </c>
      <c r="C89" s="78" t="s">
        <v>189</v>
      </c>
      <c r="D89" s="78" t="s">
        <v>106</v>
      </c>
      <c r="E89" s="78" t="s">
        <v>192</v>
      </c>
      <c r="F89" s="78"/>
      <c r="G89" s="11">
        <f t="shared" si="24"/>
        <v>183.70000000000002</v>
      </c>
      <c r="H89" s="11">
        <f t="shared" si="24"/>
        <v>200</v>
      </c>
      <c r="I89" s="11">
        <f t="shared" si="24"/>
        <v>200</v>
      </c>
      <c r="J89" s="631"/>
      <c r="K89" s="619"/>
      <c r="L89" s="57"/>
    </row>
    <row r="90" spans="1:16" ht="38.25" x14ac:dyDescent="0.2">
      <c r="A90" s="17" t="s">
        <v>125</v>
      </c>
      <c r="B90" s="64">
        <v>220</v>
      </c>
      <c r="C90" s="78" t="s">
        <v>189</v>
      </c>
      <c r="D90" s="78" t="s">
        <v>106</v>
      </c>
      <c r="E90" s="78" t="s">
        <v>192</v>
      </c>
      <c r="F90" s="78" t="s">
        <v>126</v>
      </c>
      <c r="G90" s="11">
        <f>сЖилфонд!H65</f>
        <v>183.70000000000002</v>
      </c>
      <c r="H90" s="11">
        <v>200</v>
      </c>
      <c r="I90" s="11">
        <f>H90</f>
        <v>200</v>
      </c>
      <c r="J90" s="1014">
        <v>-55224.47</v>
      </c>
      <c r="K90" s="1063"/>
      <c r="L90" s="1064"/>
      <c r="M90" s="1064"/>
      <c r="N90" s="1064"/>
      <c r="O90" s="1064"/>
      <c r="P90" s="1064"/>
    </row>
    <row r="91" spans="1:16" x14ac:dyDescent="0.2">
      <c r="A91" s="67" t="s">
        <v>193</v>
      </c>
      <c r="B91" s="75">
        <v>220</v>
      </c>
      <c r="C91" s="76" t="s">
        <v>189</v>
      </c>
      <c r="D91" s="76" t="s">
        <v>108</v>
      </c>
      <c r="E91" s="76"/>
      <c r="F91" s="76"/>
      <c r="G91" s="20">
        <f>G92</f>
        <v>22.8</v>
      </c>
      <c r="H91" s="20">
        <f t="shared" ref="H91:I91" si="25">H92</f>
        <v>23.7</v>
      </c>
      <c r="I91" s="20">
        <f t="shared" si="25"/>
        <v>24.6</v>
      </c>
      <c r="J91" s="627"/>
      <c r="K91" s="83"/>
      <c r="L91" s="83"/>
    </row>
    <row r="92" spans="1:16" ht="51" x14ac:dyDescent="0.2">
      <c r="A92" s="45" t="s">
        <v>175</v>
      </c>
      <c r="B92" s="64">
        <v>220</v>
      </c>
      <c r="C92" s="78" t="s">
        <v>189</v>
      </c>
      <c r="D92" s="78" t="s">
        <v>108</v>
      </c>
      <c r="E92" s="78" t="s">
        <v>176</v>
      </c>
      <c r="F92" s="78"/>
      <c r="G92" s="11">
        <f>G93</f>
        <v>22.8</v>
      </c>
      <c r="H92" s="11">
        <f t="shared" ref="H92:I94" si="26">H93</f>
        <v>23.7</v>
      </c>
      <c r="I92" s="11">
        <f t="shared" si="26"/>
        <v>24.6</v>
      </c>
      <c r="J92" s="627"/>
      <c r="K92" s="622"/>
      <c r="L92" s="726"/>
    </row>
    <row r="93" spans="1:16" ht="38.25" x14ac:dyDescent="0.2">
      <c r="A93" s="45" t="s">
        <v>194</v>
      </c>
      <c r="B93" s="64">
        <v>220</v>
      </c>
      <c r="C93" s="78" t="s">
        <v>189</v>
      </c>
      <c r="D93" s="78" t="s">
        <v>108</v>
      </c>
      <c r="E93" s="78" t="s">
        <v>195</v>
      </c>
      <c r="F93" s="78"/>
      <c r="G93" s="11">
        <f>G94</f>
        <v>22.8</v>
      </c>
      <c r="H93" s="11">
        <f t="shared" si="26"/>
        <v>23.7</v>
      </c>
      <c r="I93" s="11">
        <f t="shared" si="26"/>
        <v>24.6</v>
      </c>
      <c r="J93" s="627"/>
      <c r="K93" s="619"/>
      <c r="L93" s="57"/>
    </row>
    <row r="94" spans="1:16" ht="89.25" x14ac:dyDescent="0.2">
      <c r="A94" s="45" t="s">
        <v>911</v>
      </c>
      <c r="B94" s="64">
        <v>220</v>
      </c>
      <c r="C94" s="78" t="s">
        <v>189</v>
      </c>
      <c r="D94" s="78" t="s">
        <v>108</v>
      </c>
      <c r="E94" s="78" t="s">
        <v>196</v>
      </c>
      <c r="F94" s="78"/>
      <c r="G94" s="11">
        <f>G95</f>
        <v>22.8</v>
      </c>
      <c r="H94" s="11">
        <f t="shared" si="26"/>
        <v>23.7</v>
      </c>
      <c r="I94" s="11">
        <f t="shared" si="26"/>
        <v>24.6</v>
      </c>
      <c r="J94" s="627"/>
      <c r="K94" s="619"/>
      <c r="L94" s="57"/>
    </row>
    <row r="95" spans="1:16" ht="38.25" x14ac:dyDescent="0.2">
      <c r="A95" s="17" t="s">
        <v>125</v>
      </c>
      <c r="B95" s="64">
        <v>220</v>
      </c>
      <c r="C95" s="78" t="s">
        <v>189</v>
      </c>
      <c r="D95" s="78" t="s">
        <v>108</v>
      </c>
      <c r="E95" s="78" t="s">
        <v>196</v>
      </c>
      <c r="F95" s="78" t="s">
        <v>126</v>
      </c>
      <c r="G95" s="11">
        <f>сКомХоз!H65</f>
        <v>22.8</v>
      </c>
      <c r="H95" s="11">
        <f>Доходы!D79</f>
        <v>23.7</v>
      </c>
      <c r="I95" s="11">
        <f>Доходы!E79</f>
        <v>24.6</v>
      </c>
      <c r="J95" s="627"/>
      <c r="K95" s="619"/>
      <c r="L95" s="57"/>
    </row>
    <row r="96" spans="1:16" x14ac:dyDescent="0.2">
      <c r="A96" s="67" t="s">
        <v>197</v>
      </c>
      <c r="B96" s="75">
        <v>220</v>
      </c>
      <c r="C96" s="76" t="s">
        <v>189</v>
      </c>
      <c r="D96" s="76" t="s">
        <v>116</v>
      </c>
      <c r="E96" s="76"/>
      <c r="F96" s="76"/>
      <c r="G96" s="20">
        <f>G97+G103</f>
        <v>792.00000000000011</v>
      </c>
      <c r="H96" s="20">
        <f t="shared" ref="H96:I96" si="27">H97+H103</f>
        <v>806.4</v>
      </c>
      <c r="I96" s="20">
        <f t="shared" si="27"/>
        <v>837.90000000000009</v>
      </c>
      <c r="J96" s="617"/>
      <c r="K96" s="619"/>
      <c r="L96" s="57"/>
    </row>
    <row r="97" spans="1:20" ht="51" x14ac:dyDescent="0.2">
      <c r="A97" s="45" t="s">
        <v>175</v>
      </c>
      <c r="B97" s="64">
        <v>220</v>
      </c>
      <c r="C97" s="78" t="s">
        <v>189</v>
      </c>
      <c r="D97" s="78" t="s">
        <v>116</v>
      </c>
      <c r="E97" s="78" t="s">
        <v>176</v>
      </c>
      <c r="F97" s="78"/>
      <c r="G97" s="11">
        <f t="shared" ref="G97:I98" si="28">G98</f>
        <v>720.90000000000009</v>
      </c>
      <c r="H97" s="11">
        <f t="shared" si="28"/>
        <v>806.4</v>
      </c>
      <c r="I97" s="11">
        <f t="shared" si="28"/>
        <v>837.90000000000009</v>
      </c>
      <c r="J97" s="627"/>
      <c r="K97" s="619"/>
      <c r="L97" s="57"/>
    </row>
    <row r="98" spans="1:20" ht="63.75" x14ac:dyDescent="0.2">
      <c r="A98" s="45" t="s">
        <v>185</v>
      </c>
      <c r="B98" s="64">
        <v>220</v>
      </c>
      <c r="C98" s="78" t="s">
        <v>189</v>
      </c>
      <c r="D98" s="78" t="s">
        <v>116</v>
      </c>
      <c r="E98" s="78" t="s">
        <v>186</v>
      </c>
      <c r="F98" s="78"/>
      <c r="G98" s="11">
        <f>G99</f>
        <v>720.90000000000009</v>
      </c>
      <c r="H98" s="11">
        <f t="shared" si="28"/>
        <v>806.4</v>
      </c>
      <c r="I98" s="11">
        <f t="shared" si="28"/>
        <v>837.90000000000009</v>
      </c>
      <c r="J98" s="617"/>
      <c r="K98" s="619"/>
      <c r="L98" s="57"/>
    </row>
    <row r="99" spans="1:20" ht="76.5" x14ac:dyDescent="0.2">
      <c r="A99" s="45" t="s">
        <v>198</v>
      </c>
      <c r="B99" s="64">
        <v>220</v>
      </c>
      <c r="C99" s="78" t="s">
        <v>189</v>
      </c>
      <c r="D99" s="78" t="s">
        <v>116</v>
      </c>
      <c r="E99" s="78" t="s">
        <v>187</v>
      </c>
      <c r="F99" s="78"/>
      <c r="G99" s="11">
        <f>G100</f>
        <v>720.90000000000009</v>
      </c>
      <c r="H99" s="11">
        <f>H100</f>
        <v>806.4</v>
      </c>
      <c r="I99" s="11">
        <f>I100</f>
        <v>837.90000000000009</v>
      </c>
      <c r="J99" s="627"/>
      <c r="K99" s="619"/>
      <c r="L99" s="57"/>
    </row>
    <row r="100" spans="1:20" ht="38.25" x14ac:dyDescent="0.2">
      <c r="A100" s="17" t="s">
        <v>125</v>
      </c>
      <c r="B100" s="64">
        <v>220</v>
      </c>
      <c r="C100" s="78" t="s">
        <v>189</v>
      </c>
      <c r="D100" s="78" t="s">
        <v>116</v>
      </c>
      <c r="E100" s="78" t="s">
        <v>187</v>
      </c>
      <c r="F100" s="78" t="s">
        <v>126</v>
      </c>
      <c r="G100" s="11">
        <f>сБлагоуст!H65</f>
        <v>720.90000000000009</v>
      </c>
      <c r="H100" s="11">
        <f t="shared" ref="H100:I100" si="29">SUM(H101:H102)</f>
        <v>806.4</v>
      </c>
      <c r="I100" s="11">
        <f t="shared" si="29"/>
        <v>837.90000000000009</v>
      </c>
      <c r="J100" s="653"/>
      <c r="K100" s="1063"/>
      <c r="L100" s="1064"/>
      <c r="M100" s="1064"/>
      <c r="N100" s="1064"/>
      <c r="O100" s="1064"/>
      <c r="P100" s="1064"/>
    </row>
    <row r="101" spans="1:20" ht="51" x14ac:dyDescent="0.2">
      <c r="A101" s="437" t="s">
        <v>547</v>
      </c>
      <c r="B101" s="435">
        <v>220</v>
      </c>
      <c r="C101" s="436" t="s">
        <v>189</v>
      </c>
      <c r="D101" s="436" t="s">
        <v>116</v>
      </c>
      <c r="E101" s="436" t="s">
        <v>187</v>
      </c>
      <c r="F101" s="436" t="s">
        <v>126</v>
      </c>
      <c r="G101" s="434">
        <f>рБлагоус!J14</f>
        <v>488.6</v>
      </c>
      <c r="H101" s="434">
        <f>Доходы!D81</f>
        <v>497.9</v>
      </c>
      <c r="I101" s="434">
        <f>Доходы!E81</f>
        <v>517.1</v>
      </c>
      <c r="J101" s="617"/>
      <c r="K101" s="621"/>
    </row>
    <row r="102" spans="1:20" ht="63.75" x14ac:dyDescent="0.2">
      <c r="A102" s="437" t="s">
        <v>698</v>
      </c>
      <c r="B102" s="435">
        <v>220</v>
      </c>
      <c r="C102" s="436" t="s">
        <v>189</v>
      </c>
      <c r="D102" s="436" t="s">
        <v>116</v>
      </c>
      <c r="E102" s="436" t="s">
        <v>187</v>
      </c>
      <c r="F102" s="436" t="s">
        <v>126</v>
      </c>
      <c r="G102" s="434">
        <f>рБлагоус!J21</f>
        <v>232.3</v>
      </c>
      <c r="H102" s="434">
        <f>Доходы!D82</f>
        <v>308.5</v>
      </c>
      <c r="I102" s="434">
        <f>Доходы!E82</f>
        <v>320.8</v>
      </c>
    </row>
    <row r="103" spans="1:20" x14ac:dyDescent="0.2">
      <c r="A103" s="45" t="s">
        <v>142</v>
      </c>
      <c r="B103" s="64">
        <v>220</v>
      </c>
      <c r="C103" s="78" t="s">
        <v>189</v>
      </c>
      <c r="D103" s="78" t="s">
        <v>116</v>
      </c>
      <c r="E103" s="78" t="s">
        <v>143</v>
      </c>
      <c r="F103" s="78"/>
      <c r="G103" s="11">
        <f>G104+G106+G108</f>
        <v>71.099999999999994</v>
      </c>
      <c r="H103" s="11">
        <f t="shared" ref="H103:I103" si="30">H104+H106</f>
        <v>0</v>
      </c>
      <c r="I103" s="11">
        <f t="shared" si="30"/>
        <v>0</v>
      </c>
      <c r="J103" s="632"/>
      <c r="K103" s="622"/>
    </row>
    <row r="104" spans="1:20" ht="25.5" x14ac:dyDescent="0.2">
      <c r="A104" s="17" t="s">
        <v>912</v>
      </c>
      <c r="B104" s="64">
        <v>220</v>
      </c>
      <c r="C104" s="78" t="s">
        <v>189</v>
      </c>
      <c r="D104" s="78" t="s">
        <v>116</v>
      </c>
      <c r="E104" s="78" t="s">
        <v>907</v>
      </c>
      <c r="F104" s="78"/>
      <c r="G104" s="11">
        <f>G105</f>
        <v>10.5</v>
      </c>
      <c r="H104" s="11">
        <f t="shared" ref="H104:I106" si="31">H105</f>
        <v>0</v>
      </c>
      <c r="I104" s="11">
        <f t="shared" si="31"/>
        <v>0</v>
      </c>
      <c r="J104" s="632"/>
      <c r="K104" s="622"/>
    </row>
    <row r="105" spans="1:20" ht="38.25" x14ac:dyDescent="0.2">
      <c r="A105" s="17" t="s">
        <v>125</v>
      </c>
      <c r="B105" s="64">
        <v>220</v>
      </c>
      <c r="C105" s="78" t="s">
        <v>189</v>
      </c>
      <c r="D105" s="78" t="s">
        <v>116</v>
      </c>
      <c r="E105" s="78" t="s">
        <v>907</v>
      </c>
      <c r="F105" s="78" t="s">
        <v>126</v>
      </c>
      <c r="G105" s="11">
        <f>сБлагоуст!H66</f>
        <v>10.5</v>
      </c>
      <c r="H105" s="11">
        <v>0</v>
      </c>
      <c r="I105" s="11">
        <v>0</v>
      </c>
      <c r="J105" s="632"/>
      <c r="K105" s="622"/>
    </row>
    <row r="106" spans="1:20" ht="25.5" x14ac:dyDescent="0.2">
      <c r="A106" s="17" t="s">
        <v>922</v>
      </c>
      <c r="B106" s="64">
        <v>220</v>
      </c>
      <c r="C106" s="78" t="s">
        <v>189</v>
      </c>
      <c r="D106" s="78" t="s">
        <v>116</v>
      </c>
      <c r="E106" s="78" t="s">
        <v>932</v>
      </c>
      <c r="F106" s="78"/>
      <c r="G106" s="11">
        <f>G107</f>
        <v>31.2</v>
      </c>
      <c r="H106" s="11">
        <f t="shared" si="31"/>
        <v>0</v>
      </c>
      <c r="I106" s="11">
        <f t="shared" si="31"/>
        <v>0</v>
      </c>
      <c r="J106" s="632"/>
      <c r="K106" s="622"/>
    </row>
    <row r="107" spans="1:20" ht="38.25" x14ac:dyDescent="0.2">
      <c r="A107" s="17" t="s">
        <v>125</v>
      </c>
      <c r="B107" s="64">
        <v>220</v>
      </c>
      <c r="C107" s="78" t="s">
        <v>189</v>
      </c>
      <c r="D107" s="78" t="s">
        <v>116</v>
      </c>
      <c r="E107" s="78" t="s">
        <v>932</v>
      </c>
      <c r="F107" s="78" t="s">
        <v>126</v>
      </c>
      <c r="G107" s="11">
        <f>рБлагоус!J36</f>
        <v>31.2</v>
      </c>
      <c r="H107" s="11">
        <v>0</v>
      </c>
      <c r="I107" s="11">
        <v>0</v>
      </c>
      <c r="J107" s="653"/>
      <c r="K107" s="1063"/>
      <c r="L107" s="1064"/>
      <c r="M107" s="1064"/>
      <c r="N107" s="1064"/>
      <c r="O107" s="1064"/>
      <c r="P107" s="1064"/>
    </row>
    <row r="108" spans="1:20" ht="25.5" x14ac:dyDescent="0.2">
      <c r="A108" s="1015" t="s">
        <v>944</v>
      </c>
      <c r="B108" s="64">
        <v>220</v>
      </c>
      <c r="C108" s="78" t="s">
        <v>189</v>
      </c>
      <c r="D108" s="78" t="s">
        <v>116</v>
      </c>
      <c r="E108" s="78" t="s">
        <v>943</v>
      </c>
      <c r="F108" s="78" t="s">
        <v>126</v>
      </c>
      <c r="G108" s="11">
        <f>сБлагоуст!H68</f>
        <v>29.4</v>
      </c>
      <c r="H108" s="11">
        <v>0</v>
      </c>
      <c r="I108" s="11">
        <v>0</v>
      </c>
      <c r="J108" s="1014">
        <v>29400</v>
      </c>
      <c r="K108" s="1020"/>
      <c r="L108" s="1021"/>
      <c r="M108" s="1021"/>
      <c r="N108" s="1021"/>
      <c r="O108" s="1021"/>
      <c r="P108" s="1021"/>
    </row>
    <row r="109" spans="1:20" ht="25.5" x14ac:dyDescent="0.2">
      <c r="A109" s="86" t="s">
        <v>199</v>
      </c>
      <c r="B109" s="75">
        <v>220</v>
      </c>
      <c r="C109" s="76" t="s">
        <v>189</v>
      </c>
      <c r="D109" s="76" t="s">
        <v>189</v>
      </c>
      <c r="E109" s="76"/>
      <c r="F109" s="76"/>
      <c r="G109" s="20">
        <f>G110</f>
        <v>100</v>
      </c>
      <c r="H109" s="20">
        <f t="shared" ref="H109:I111" si="32">H110</f>
        <v>103.6</v>
      </c>
      <c r="I109" s="20">
        <f t="shared" si="32"/>
        <v>105.6</v>
      </c>
      <c r="J109" s="632"/>
      <c r="K109" s="622"/>
    </row>
    <row r="110" spans="1:20" x14ac:dyDescent="0.2">
      <c r="A110" s="45" t="s">
        <v>142</v>
      </c>
      <c r="B110" s="64">
        <v>220</v>
      </c>
      <c r="C110" s="78" t="s">
        <v>189</v>
      </c>
      <c r="D110" s="78" t="s">
        <v>189</v>
      </c>
      <c r="E110" s="78" t="s">
        <v>143</v>
      </c>
      <c r="F110" s="78"/>
      <c r="G110" s="11">
        <f>G111+G113</f>
        <v>100</v>
      </c>
      <c r="H110" s="11">
        <f t="shared" ref="H110:I110" si="33">H111+H113</f>
        <v>103.6</v>
      </c>
      <c r="I110" s="11">
        <f t="shared" si="33"/>
        <v>105.6</v>
      </c>
      <c r="J110" s="632"/>
      <c r="K110" s="622"/>
    </row>
    <row r="111" spans="1:20" ht="25.5" x14ac:dyDescent="0.2">
      <c r="A111" s="17" t="s">
        <v>95</v>
      </c>
      <c r="B111" s="64">
        <v>220</v>
      </c>
      <c r="C111" s="78" t="s">
        <v>189</v>
      </c>
      <c r="D111" s="78" t="s">
        <v>189</v>
      </c>
      <c r="E111" s="78" t="s">
        <v>200</v>
      </c>
      <c r="F111" s="78"/>
      <c r="G111" s="11">
        <f>G112</f>
        <v>48.7</v>
      </c>
      <c r="H111" s="11">
        <f t="shared" si="32"/>
        <v>50.6</v>
      </c>
      <c r="I111" s="11">
        <f t="shared" si="32"/>
        <v>52.6</v>
      </c>
      <c r="J111" s="632"/>
      <c r="K111" s="622"/>
    </row>
    <row r="112" spans="1:20" x14ac:dyDescent="0.2">
      <c r="A112" s="17" t="s">
        <v>138</v>
      </c>
      <c r="B112" s="64">
        <v>220</v>
      </c>
      <c r="C112" s="78" t="s">
        <v>189</v>
      </c>
      <c r="D112" s="78" t="s">
        <v>189</v>
      </c>
      <c r="E112" s="78" t="s">
        <v>200</v>
      </c>
      <c r="F112" s="78" t="s">
        <v>139</v>
      </c>
      <c r="G112" s="11">
        <f>сРитуал!H65</f>
        <v>48.7</v>
      </c>
      <c r="H112" s="11">
        <f>Доходы!D89</f>
        <v>50.6</v>
      </c>
      <c r="I112" s="11">
        <f>Доходы!E89</f>
        <v>52.6</v>
      </c>
      <c r="J112" s="632"/>
      <c r="K112" s="623"/>
      <c r="L112" s="1057"/>
      <c r="M112" s="1057"/>
      <c r="N112" s="1057"/>
      <c r="O112" s="1057"/>
      <c r="P112" s="1057"/>
      <c r="Q112" s="1057"/>
      <c r="R112" s="95"/>
      <c r="S112" s="95"/>
      <c r="T112" s="95"/>
    </row>
    <row r="113" spans="1:20" ht="38.25" x14ac:dyDescent="0.2">
      <c r="A113" s="17" t="s">
        <v>671</v>
      </c>
      <c r="B113" s="64">
        <v>220</v>
      </c>
      <c r="C113" s="78" t="s">
        <v>189</v>
      </c>
      <c r="D113" s="78" t="s">
        <v>189</v>
      </c>
      <c r="E113" s="78" t="s">
        <v>668</v>
      </c>
      <c r="F113" s="78"/>
      <c r="G113" s="11">
        <f>G114</f>
        <v>51.3</v>
      </c>
      <c r="H113" s="11">
        <f t="shared" ref="H113:I113" si="34">H114</f>
        <v>53</v>
      </c>
      <c r="I113" s="11">
        <f t="shared" si="34"/>
        <v>53</v>
      </c>
      <c r="J113" s="632"/>
      <c r="K113" s="623"/>
      <c r="L113" s="589"/>
      <c r="M113" s="589"/>
      <c r="N113" s="589"/>
      <c r="O113" s="589"/>
      <c r="P113" s="589"/>
      <c r="Q113" s="589"/>
      <c r="R113" s="95"/>
      <c r="S113" s="95"/>
      <c r="T113" s="95"/>
    </row>
    <row r="114" spans="1:20" x14ac:dyDescent="0.2">
      <c r="A114" s="17" t="s">
        <v>138</v>
      </c>
      <c r="B114" s="64">
        <v>220</v>
      </c>
      <c r="C114" s="78" t="s">
        <v>189</v>
      </c>
      <c r="D114" s="78" t="s">
        <v>189</v>
      </c>
      <c r="E114" s="78" t="s">
        <v>668</v>
      </c>
      <c r="F114" s="78" t="s">
        <v>139</v>
      </c>
      <c r="G114" s="11">
        <f>сРитуал!H66</f>
        <v>51.3</v>
      </c>
      <c r="H114" s="11">
        <v>53</v>
      </c>
      <c r="I114" s="11">
        <v>53</v>
      </c>
      <c r="J114" s="632"/>
      <c r="K114" s="622"/>
      <c r="L114" s="1058"/>
      <c r="M114" s="1058"/>
      <c r="N114" s="1058"/>
      <c r="O114" s="1058"/>
      <c r="P114" s="1058"/>
      <c r="Q114" s="1058"/>
      <c r="R114" s="95"/>
      <c r="S114" s="95"/>
      <c r="T114" s="95"/>
    </row>
    <row r="115" spans="1:20" ht="15" x14ac:dyDescent="0.2">
      <c r="A115" s="38" t="s">
        <v>201</v>
      </c>
      <c r="B115" s="82">
        <v>220</v>
      </c>
      <c r="C115" s="87" t="s">
        <v>172</v>
      </c>
      <c r="D115" s="87"/>
      <c r="E115" s="87"/>
      <c r="F115" s="87"/>
      <c r="G115" s="88">
        <f>G116+G121</f>
        <v>2885.4</v>
      </c>
      <c r="H115" s="88">
        <f>H116+H121</f>
        <v>2885.4</v>
      </c>
      <c r="I115" s="88">
        <f>I116+I121</f>
        <v>2885.4</v>
      </c>
      <c r="J115" s="633"/>
      <c r="K115" s="686"/>
      <c r="Q115" s="79"/>
      <c r="R115" s="79"/>
      <c r="S115" s="90"/>
    </row>
    <row r="116" spans="1:20" x14ac:dyDescent="0.2">
      <c r="A116" s="67" t="s">
        <v>202</v>
      </c>
      <c r="B116" s="75">
        <v>220</v>
      </c>
      <c r="C116" s="91" t="s">
        <v>172</v>
      </c>
      <c r="D116" s="91" t="s">
        <v>106</v>
      </c>
      <c r="E116" s="92"/>
      <c r="F116" s="92"/>
      <c r="G116" s="93">
        <f>G117</f>
        <v>2885.4</v>
      </c>
      <c r="H116" s="93">
        <f t="shared" ref="H116:I116" si="35">H117</f>
        <v>2885.4</v>
      </c>
      <c r="I116" s="93">
        <f t="shared" si="35"/>
        <v>2885.4</v>
      </c>
      <c r="J116" s="633"/>
      <c r="K116" s="619"/>
      <c r="Q116" s="79"/>
      <c r="R116" s="79"/>
      <c r="S116" s="90"/>
    </row>
    <row r="117" spans="1:20" ht="63.75" x14ac:dyDescent="0.2">
      <c r="A117" s="45" t="s">
        <v>129</v>
      </c>
      <c r="B117" s="64">
        <v>220</v>
      </c>
      <c r="C117" s="9" t="s">
        <v>172</v>
      </c>
      <c r="D117" s="9" t="s">
        <v>106</v>
      </c>
      <c r="E117" s="78" t="s">
        <v>130</v>
      </c>
      <c r="F117" s="91"/>
      <c r="G117" s="26">
        <f t="shared" ref="G117:I119" si="36">G118</f>
        <v>2885.4</v>
      </c>
      <c r="H117" s="26">
        <f t="shared" si="36"/>
        <v>2885.4</v>
      </c>
      <c r="I117" s="26">
        <f t="shared" si="36"/>
        <v>2885.4</v>
      </c>
      <c r="J117" s="633"/>
      <c r="K117" s="619"/>
      <c r="Q117" s="79"/>
      <c r="R117" s="79"/>
      <c r="S117" s="90"/>
    </row>
    <row r="118" spans="1:20" ht="51" x14ac:dyDescent="0.2">
      <c r="A118" s="45" t="s">
        <v>203</v>
      </c>
      <c r="B118" s="64">
        <v>220</v>
      </c>
      <c r="C118" s="9" t="s">
        <v>172</v>
      </c>
      <c r="D118" s="9" t="s">
        <v>106</v>
      </c>
      <c r="E118" s="78" t="s">
        <v>132</v>
      </c>
      <c r="F118" s="9"/>
      <c r="G118" s="26">
        <f t="shared" si="36"/>
        <v>2885.4</v>
      </c>
      <c r="H118" s="26">
        <f t="shared" si="36"/>
        <v>2885.4</v>
      </c>
      <c r="I118" s="26">
        <f t="shared" si="36"/>
        <v>2885.4</v>
      </c>
      <c r="J118" s="633"/>
      <c r="K118" s="619"/>
    </row>
    <row r="119" spans="1:20" ht="76.5" x14ac:dyDescent="0.2">
      <c r="A119" s="45" t="s">
        <v>910</v>
      </c>
      <c r="B119" s="64">
        <v>220</v>
      </c>
      <c r="C119" s="9" t="s">
        <v>172</v>
      </c>
      <c r="D119" s="9" t="s">
        <v>106</v>
      </c>
      <c r="E119" s="78" t="s">
        <v>134</v>
      </c>
      <c r="F119" s="9"/>
      <c r="G119" s="26">
        <f t="shared" si="36"/>
        <v>2885.4</v>
      </c>
      <c r="H119" s="26">
        <f t="shared" si="36"/>
        <v>2885.4</v>
      </c>
      <c r="I119" s="26">
        <f t="shared" si="36"/>
        <v>2885.4</v>
      </c>
      <c r="J119" s="633"/>
      <c r="K119" s="619"/>
    </row>
    <row r="120" spans="1:20" ht="25.5" x14ac:dyDescent="0.2">
      <c r="A120" s="17" t="s">
        <v>204</v>
      </c>
      <c r="B120" s="64">
        <v>220</v>
      </c>
      <c r="C120" s="9" t="s">
        <v>172</v>
      </c>
      <c r="D120" s="9" t="s">
        <v>106</v>
      </c>
      <c r="E120" s="78" t="s">
        <v>134</v>
      </c>
      <c r="F120" s="9" t="s">
        <v>205</v>
      </c>
      <c r="G120" s="26">
        <f>сПенс!H65</f>
        <v>2885.4</v>
      </c>
      <c r="H120" s="11">
        <f>Доходы!D87</f>
        <v>2885.4</v>
      </c>
      <c r="I120" s="11">
        <f>Доходы!E87</f>
        <v>2885.4</v>
      </c>
      <c r="J120" s="627"/>
      <c r="K120" s="619"/>
    </row>
    <row r="121" spans="1:20" ht="25.5" hidden="1" x14ac:dyDescent="0.2">
      <c r="A121" s="67" t="s">
        <v>608</v>
      </c>
      <c r="B121" s="75">
        <v>220</v>
      </c>
      <c r="C121" s="91" t="s">
        <v>172</v>
      </c>
      <c r="D121" s="91" t="s">
        <v>141</v>
      </c>
      <c r="E121" s="92"/>
      <c r="F121" s="92"/>
      <c r="G121" s="93">
        <f>G122</f>
        <v>0</v>
      </c>
      <c r="H121" s="93">
        <f t="shared" ref="H121:I121" si="37">H122</f>
        <v>0</v>
      </c>
      <c r="I121" s="93">
        <f t="shared" si="37"/>
        <v>0</v>
      </c>
      <c r="J121" s="633"/>
      <c r="K121" s="619"/>
    </row>
    <row r="122" spans="1:20" hidden="1" x14ac:dyDescent="0.2">
      <c r="A122" s="17" t="s">
        <v>142</v>
      </c>
      <c r="B122" s="64">
        <v>220</v>
      </c>
      <c r="C122" s="9" t="s">
        <v>172</v>
      </c>
      <c r="D122" s="9" t="s">
        <v>141</v>
      </c>
      <c r="E122" s="94" t="s">
        <v>143</v>
      </c>
      <c r="F122" s="91"/>
      <c r="G122" s="26">
        <f>G123+G125</f>
        <v>0</v>
      </c>
      <c r="H122" s="26">
        <f t="shared" ref="H122:I122" si="38">H123+H125</f>
        <v>0</v>
      </c>
      <c r="I122" s="26">
        <f t="shared" si="38"/>
        <v>0</v>
      </c>
      <c r="J122" s="633"/>
      <c r="K122" s="619"/>
    </row>
    <row r="123" spans="1:20" ht="114.75" hidden="1" x14ac:dyDescent="0.2">
      <c r="A123" s="45" t="s">
        <v>609</v>
      </c>
      <c r="B123" s="64">
        <v>220</v>
      </c>
      <c r="C123" s="9" t="s">
        <v>172</v>
      </c>
      <c r="D123" s="9" t="s">
        <v>141</v>
      </c>
      <c r="E123" s="78" t="s">
        <v>587</v>
      </c>
      <c r="F123" s="9"/>
      <c r="G123" s="26">
        <f t="shared" ref="G123:I123" si="39">G124</f>
        <v>0</v>
      </c>
      <c r="H123" s="26">
        <f t="shared" si="39"/>
        <v>0</v>
      </c>
      <c r="I123" s="26">
        <f t="shared" si="39"/>
        <v>0</v>
      </c>
      <c r="J123" s="633"/>
      <c r="K123" s="619"/>
    </row>
    <row r="124" spans="1:20" ht="38.25" hidden="1" x14ac:dyDescent="0.2">
      <c r="A124" s="17" t="s">
        <v>125</v>
      </c>
      <c r="B124" s="64">
        <v>220</v>
      </c>
      <c r="C124" s="9" t="s">
        <v>172</v>
      </c>
      <c r="D124" s="9" t="s">
        <v>141</v>
      </c>
      <c r="E124" s="78" t="s">
        <v>587</v>
      </c>
      <c r="F124" s="9" t="s">
        <v>126</v>
      </c>
      <c r="G124" s="26">
        <f>рНадгроб!H9</f>
        <v>0</v>
      </c>
      <c r="H124" s="11">
        <v>0</v>
      </c>
      <c r="I124" s="11">
        <v>0</v>
      </c>
      <c r="J124" s="633"/>
      <c r="K124" s="619"/>
    </row>
    <row r="125" spans="1:20" ht="76.5" hidden="1" x14ac:dyDescent="0.2">
      <c r="A125" s="45" t="s">
        <v>672</v>
      </c>
      <c r="B125" s="64">
        <v>220</v>
      </c>
      <c r="C125" s="9" t="s">
        <v>172</v>
      </c>
      <c r="D125" s="9" t="s">
        <v>141</v>
      </c>
      <c r="E125" s="78" t="s">
        <v>681</v>
      </c>
      <c r="F125" s="9"/>
      <c r="G125" s="26">
        <f>G126</f>
        <v>0</v>
      </c>
      <c r="H125" s="26">
        <f>H126</f>
        <v>0</v>
      </c>
      <c r="I125" s="26">
        <f>I126</f>
        <v>0</v>
      </c>
      <c r="J125" s="633"/>
      <c r="K125" s="619"/>
    </row>
    <row r="126" spans="1:20" ht="38.25" hidden="1" x14ac:dyDescent="0.2">
      <c r="A126" s="17" t="s">
        <v>125</v>
      </c>
      <c r="B126" s="64">
        <v>220</v>
      </c>
      <c r="C126" s="9" t="s">
        <v>172</v>
      </c>
      <c r="D126" s="9" t="s">
        <v>141</v>
      </c>
      <c r="E126" s="78" t="s">
        <v>681</v>
      </c>
      <c r="F126" s="9" t="s">
        <v>126</v>
      </c>
      <c r="G126" s="26">
        <f>рНадгроб!H10</f>
        <v>0</v>
      </c>
      <c r="H126" s="11">
        <v>0</v>
      </c>
      <c r="I126" s="11">
        <v>0</v>
      </c>
      <c r="J126" s="634"/>
      <c r="K126" s="623"/>
    </row>
    <row r="127" spans="1:20" x14ac:dyDescent="0.2">
      <c r="A127" s="95"/>
      <c r="B127" s="96"/>
      <c r="C127" s="97"/>
      <c r="D127" s="97"/>
      <c r="E127" s="97"/>
      <c r="F127" s="1065"/>
      <c r="G127" s="1065"/>
      <c r="H127" s="98"/>
      <c r="I127" s="89"/>
      <c r="J127" s="89"/>
      <c r="K127" s="619"/>
    </row>
    <row r="128" spans="1:20" x14ac:dyDescent="0.2">
      <c r="A128" s="95"/>
      <c r="B128" s="96"/>
      <c r="C128" s="97"/>
      <c r="D128" s="97"/>
      <c r="E128" s="97"/>
      <c r="F128" s="99"/>
      <c r="G128" s="992"/>
      <c r="H128" s="100"/>
      <c r="I128" s="89"/>
      <c r="J128" s="89"/>
    </row>
    <row r="129" spans="1:10" x14ac:dyDescent="0.2">
      <c r="A129" s="95"/>
      <c r="B129" s="96"/>
      <c r="C129" s="97"/>
      <c r="D129" s="97"/>
      <c r="E129" s="97"/>
      <c r="F129" s="97"/>
      <c r="G129" s="46"/>
      <c r="H129" s="89"/>
      <c r="I129" s="89"/>
      <c r="J129" s="89"/>
    </row>
    <row r="130" spans="1:10" x14ac:dyDescent="0.2">
      <c r="A130" s="95"/>
      <c r="B130" s="96"/>
      <c r="C130" s="97"/>
      <c r="D130" s="97"/>
      <c r="E130" s="97"/>
      <c r="F130" s="97"/>
      <c r="G130" s="46"/>
      <c r="H130" s="89"/>
      <c r="I130" s="89"/>
      <c r="J130" s="89"/>
    </row>
    <row r="131" spans="1:10" x14ac:dyDescent="0.2">
      <c r="A131" s="95"/>
      <c r="B131" s="95"/>
      <c r="C131" s="97"/>
      <c r="D131" s="97"/>
      <c r="E131" s="97"/>
      <c r="F131" s="97"/>
      <c r="G131" s="46"/>
      <c r="H131" s="89"/>
      <c r="I131" s="89"/>
      <c r="J131" s="89"/>
    </row>
    <row r="132" spans="1:10" x14ac:dyDescent="0.2">
      <c r="A132" s="95"/>
      <c r="B132" s="95"/>
      <c r="C132" s="97"/>
      <c r="D132" s="97"/>
      <c r="E132" s="97"/>
      <c r="F132" s="97"/>
      <c r="G132" s="46"/>
      <c r="H132" s="89"/>
      <c r="I132" s="89"/>
      <c r="J132" s="89"/>
    </row>
    <row r="133" spans="1:10" x14ac:dyDescent="0.2">
      <c r="A133" s="95"/>
      <c r="B133" s="95"/>
      <c r="C133" s="97"/>
      <c r="D133" s="97"/>
      <c r="E133" s="97"/>
      <c r="F133" s="97"/>
      <c r="G133" s="46"/>
      <c r="H133" s="89"/>
      <c r="I133" s="89"/>
      <c r="J133" s="89"/>
    </row>
    <row r="134" spans="1:10" x14ac:dyDescent="0.2">
      <c r="A134" s="95"/>
      <c r="B134" s="95"/>
      <c r="C134" s="97"/>
      <c r="D134" s="97"/>
      <c r="E134" s="97"/>
      <c r="F134" s="97"/>
      <c r="G134" s="46"/>
      <c r="H134" s="89"/>
      <c r="I134" s="89"/>
      <c r="J134" s="89"/>
    </row>
    <row r="135" spans="1:10" x14ac:dyDescent="0.2">
      <c r="A135" s="95"/>
      <c r="B135" s="95"/>
      <c r="C135" s="97"/>
      <c r="D135" s="97"/>
      <c r="E135" s="97"/>
      <c r="F135" s="97"/>
      <c r="G135" s="46"/>
      <c r="H135" s="89"/>
      <c r="I135" s="89"/>
      <c r="J135" s="89"/>
    </row>
    <row r="136" spans="1:10" x14ac:dyDescent="0.2">
      <c r="A136" s="95"/>
      <c r="B136" s="95"/>
      <c r="C136" s="97"/>
      <c r="D136" s="97"/>
      <c r="E136" s="97"/>
      <c r="F136" s="97"/>
      <c r="G136" s="46"/>
      <c r="H136" s="89"/>
      <c r="I136" s="89"/>
      <c r="J136" s="89"/>
    </row>
    <row r="137" spans="1:10" x14ac:dyDescent="0.2">
      <c r="A137" s="95"/>
      <c r="B137" s="95"/>
      <c r="C137" s="97"/>
      <c r="D137" s="97"/>
      <c r="E137" s="97"/>
      <c r="F137" s="97"/>
      <c r="G137" s="46"/>
      <c r="H137" s="89"/>
      <c r="I137" s="89"/>
      <c r="J137" s="89"/>
    </row>
    <row r="138" spans="1:10" x14ac:dyDescent="0.2">
      <c r="C138" s="97"/>
      <c r="D138" s="97"/>
      <c r="E138" s="97"/>
      <c r="F138" s="97"/>
      <c r="G138" s="46"/>
      <c r="H138" s="89"/>
      <c r="I138" s="89"/>
      <c r="J138" s="89"/>
    </row>
    <row r="139" spans="1:10" x14ac:dyDescent="0.2">
      <c r="C139" s="101"/>
      <c r="D139" s="101"/>
      <c r="E139" s="101"/>
      <c r="F139" s="101"/>
      <c r="G139" s="80"/>
      <c r="H139" s="102"/>
      <c r="I139" s="102"/>
      <c r="J139" s="618"/>
    </row>
    <row r="140" spans="1:10" x14ac:dyDescent="0.2">
      <c r="C140" s="101"/>
      <c r="D140" s="101"/>
      <c r="E140" s="101"/>
      <c r="F140" s="101"/>
      <c r="G140" s="80"/>
      <c r="H140" s="102"/>
      <c r="I140" s="102"/>
      <c r="J140" s="618"/>
    </row>
    <row r="141" spans="1:10" x14ac:dyDescent="0.2">
      <c r="C141" s="59"/>
      <c r="D141" s="59"/>
      <c r="E141" s="59"/>
      <c r="F141" s="59"/>
    </row>
    <row r="142" spans="1:10" x14ac:dyDescent="0.2">
      <c r="C142" s="59"/>
      <c r="D142" s="59"/>
      <c r="E142" s="59"/>
      <c r="F142" s="59"/>
    </row>
    <row r="143" spans="1:10" x14ac:dyDescent="0.2">
      <c r="C143" s="59"/>
      <c r="D143" s="59"/>
      <c r="E143" s="59"/>
      <c r="F143" s="59"/>
    </row>
    <row r="144" spans="1:10" x14ac:dyDescent="0.2">
      <c r="C144" s="59"/>
      <c r="D144" s="59"/>
      <c r="E144" s="59"/>
      <c r="F144" s="59"/>
    </row>
    <row r="145" spans="3:6" x14ac:dyDescent="0.2">
      <c r="C145" s="59"/>
      <c r="D145" s="59"/>
      <c r="E145" s="59"/>
      <c r="F145" s="59"/>
    </row>
    <row r="146" spans="3:6" x14ac:dyDescent="0.2">
      <c r="C146" s="59"/>
      <c r="D146" s="59"/>
      <c r="E146" s="59"/>
      <c r="F146" s="59"/>
    </row>
    <row r="147" spans="3:6" x14ac:dyDescent="0.2">
      <c r="C147" s="59"/>
      <c r="D147" s="59"/>
      <c r="E147" s="59"/>
      <c r="F147" s="59"/>
    </row>
    <row r="148" spans="3:6" x14ac:dyDescent="0.2">
      <c r="C148" s="59"/>
      <c r="D148" s="59"/>
      <c r="E148" s="59"/>
      <c r="F148" s="59"/>
    </row>
    <row r="149" spans="3:6" x14ac:dyDescent="0.2">
      <c r="C149" s="59"/>
      <c r="D149" s="59"/>
      <c r="E149" s="59"/>
      <c r="F149" s="59"/>
    </row>
    <row r="150" spans="3:6" x14ac:dyDescent="0.2">
      <c r="C150" s="59"/>
      <c r="D150" s="59"/>
      <c r="E150" s="59"/>
      <c r="F150" s="59"/>
    </row>
    <row r="151" spans="3:6" x14ac:dyDescent="0.2">
      <c r="C151" s="59"/>
      <c r="D151" s="59"/>
      <c r="E151" s="59"/>
      <c r="F151" s="59"/>
    </row>
    <row r="152" spans="3:6" x14ac:dyDescent="0.2">
      <c r="C152" s="59"/>
      <c r="D152" s="59"/>
      <c r="E152" s="59"/>
      <c r="F152" s="59"/>
    </row>
    <row r="153" spans="3:6" x14ac:dyDescent="0.2">
      <c r="C153" s="59"/>
      <c r="D153" s="59"/>
      <c r="E153" s="59"/>
      <c r="F153" s="59"/>
    </row>
    <row r="154" spans="3:6" x14ac:dyDescent="0.2">
      <c r="C154" s="59"/>
      <c r="D154" s="59"/>
      <c r="E154" s="59"/>
      <c r="F154" s="59"/>
    </row>
    <row r="155" spans="3:6" x14ac:dyDescent="0.2">
      <c r="C155" s="59"/>
      <c r="D155" s="59"/>
      <c r="E155" s="59"/>
      <c r="F155" s="59"/>
    </row>
    <row r="156" spans="3:6" x14ac:dyDescent="0.2">
      <c r="C156" s="59"/>
      <c r="D156" s="59"/>
      <c r="E156" s="59"/>
      <c r="F156" s="59"/>
    </row>
    <row r="157" spans="3:6" x14ac:dyDescent="0.2">
      <c r="C157" s="59"/>
      <c r="D157" s="59"/>
      <c r="E157" s="59"/>
      <c r="F157" s="59"/>
    </row>
    <row r="158" spans="3:6" x14ac:dyDescent="0.2">
      <c r="C158" s="59"/>
      <c r="D158" s="59"/>
      <c r="E158" s="59"/>
      <c r="F158" s="59"/>
    </row>
    <row r="159" spans="3:6" x14ac:dyDescent="0.2">
      <c r="C159" s="59"/>
      <c r="D159" s="59"/>
      <c r="E159" s="59"/>
      <c r="F159" s="59"/>
    </row>
    <row r="160" spans="3:6" x14ac:dyDescent="0.2">
      <c r="C160" s="59"/>
      <c r="D160" s="59"/>
      <c r="E160" s="59"/>
      <c r="F160" s="59"/>
    </row>
    <row r="161" spans="3:6" x14ac:dyDescent="0.2">
      <c r="C161" s="59"/>
      <c r="D161" s="59"/>
      <c r="E161" s="59"/>
      <c r="F161" s="59"/>
    </row>
    <row r="162" spans="3:6" x14ac:dyDescent="0.2">
      <c r="C162" s="59"/>
      <c r="D162" s="59"/>
      <c r="E162" s="59"/>
      <c r="F162" s="59"/>
    </row>
    <row r="163" spans="3:6" x14ac:dyDescent="0.2">
      <c r="C163" s="59"/>
      <c r="D163" s="59"/>
      <c r="E163" s="59"/>
      <c r="F163" s="59"/>
    </row>
    <row r="164" spans="3:6" x14ac:dyDescent="0.2">
      <c r="C164" s="59"/>
      <c r="D164" s="59"/>
      <c r="E164" s="59"/>
      <c r="F164" s="59"/>
    </row>
    <row r="165" spans="3:6" x14ac:dyDescent="0.2">
      <c r="C165" s="59"/>
      <c r="D165" s="59"/>
      <c r="E165" s="59"/>
      <c r="F165" s="59"/>
    </row>
    <row r="166" spans="3:6" x14ac:dyDescent="0.2">
      <c r="C166" s="59"/>
      <c r="D166" s="59"/>
      <c r="E166" s="59"/>
      <c r="F166" s="59"/>
    </row>
  </sheetData>
  <mergeCells count="22">
    <mergeCell ref="F127:G127"/>
    <mergeCell ref="G1:I1"/>
    <mergeCell ref="A3:I3"/>
    <mergeCell ref="A4:I4"/>
    <mergeCell ref="A5:I5"/>
    <mergeCell ref="F6:F7"/>
    <mergeCell ref="G6:G7"/>
    <mergeCell ref="H6:I6"/>
    <mergeCell ref="L112:Q112"/>
    <mergeCell ref="L114:Q114"/>
    <mergeCell ref="A6:A7"/>
    <mergeCell ref="B6:B7"/>
    <mergeCell ref="C6:C7"/>
    <mergeCell ref="D6:D7"/>
    <mergeCell ref="E6:E7"/>
    <mergeCell ref="K30:P30"/>
    <mergeCell ref="K31:P31"/>
    <mergeCell ref="K32:P32"/>
    <mergeCell ref="K85:P85"/>
    <mergeCell ref="K90:P90"/>
    <mergeCell ref="K100:P100"/>
    <mergeCell ref="K107:P107"/>
  </mergeCells>
  <pageMargins left="0.70866141732283472" right="0.31496062992125984" top="0.74803149606299213" bottom="0.74803149606299213" header="0.31496062992125984" footer="0.31496062992125984"/>
  <pageSetup paperSize="9" scale="90" orientation="portrait" verticalDpi="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7"/>
  <sheetViews>
    <sheetView showZeros="0" topLeftCell="A35" workbookViewId="0">
      <selection activeCell="A47" sqref="A47:H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548</v>
      </c>
      <c r="B12" s="1201"/>
      <c r="C12" s="1201"/>
      <c r="D12" s="1201"/>
      <c r="E12" s="1201"/>
      <c r="F12" s="1201"/>
      <c r="G12" s="1201"/>
      <c r="H12" s="1201"/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9" x14ac:dyDescent="0.25">
      <c r="A16" s="564" t="s">
        <v>640</v>
      </c>
      <c r="B16" s="581" t="s">
        <v>106</v>
      </c>
      <c r="C16" s="581" t="s">
        <v>148</v>
      </c>
      <c r="D16" s="581" t="s">
        <v>152</v>
      </c>
      <c r="E16" s="581" t="s">
        <v>494</v>
      </c>
      <c r="F16" s="587" t="s">
        <v>126</v>
      </c>
      <c r="G16" s="563"/>
      <c r="H16" s="580">
        <f>рРезерв!H10</f>
        <v>10</v>
      </c>
      <c r="I16" s="638">
        <v>10000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3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106</v>
      </c>
      <c r="C65" s="848" t="s">
        <v>148</v>
      </c>
      <c r="D65" s="848" t="s">
        <v>152</v>
      </c>
      <c r="E65" s="848" t="s">
        <v>139</v>
      </c>
      <c r="F65" s="563"/>
      <c r="G65" s="563"/>
      <c r="H65" s="850">
        <f>H16</f>
        <v>10</v>
      </c>
    </row>
    <row r="66" spans="1:9" x14ac:dyDescent="0.25">
      <c r="A66" s="571" t="s">
        <v>377</v>
      </c>
      <c r="B66" s="848" t="s">
        <v>106</v>
      </c>
      <c r="C66" s="848" t="s">
        <v>148</v>
      </c>
      <c r="D66" s="848" t="s">
        <v>485</v>
      </c>
      <c r="E66" s="848" t="s">
        <v>345</v>
      </c>
      <c r="F66" s="570"/>
      <c r="G66" s="570"/>
      <c r="H66" s="850">
        <f>H59+H16</f>
        <v>10</v>
      </c>
      <c r="I66" s="638">
        <f>SUM(I16:I64)</f>
        <v>10000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6"/>
  <sheetViews>
    <sheetView topLeftCell="G1" workbookViewId="0">
      <selection activeCell="G10" sqref="G10"/>
    </sheetView>
  </sheetViews>
  <sheetFormatPr defaultRowHeight="15" x14ac:dyDescent="0.25"/>
  <cols>
    <col min="1" max="1" width="4" style="145" customWidth="1"/>
    <col min="2" max="2" width="25" style="145" customWidth="1"/>
    <col min="3" max="3" width="7.28515625" style="145" customWidth="1"/>
    <col min="4" max="4" width="8" style="145" customWidth="1"/>
    <col min="5" max="5" width="10.28515625" style="145" customWidth="1"/>
    <col min="6" max="6" width="6.5703125" style="145" customWidth="1"/>
    <col min="7" max="8" width="10" style="145" customWidth="1"/>
    <col min="9" max="9" width="11.7109375" style="145" customWidth="1"/>
    <col min="10" max="10" width="11.5703125" style="145" customWidth="1"/>
    <col min="11" max="11" width="9.140625" style="145"/>
    <col min="12" max="12" width="10.5703125" style="145" bestFit="1" customWidth="1"/>
    <col min="13" max="13" width="9.140625" style="145"/>
    <col min="14" max="14" width="12.140625" style="145" customWidth="1"/>
    <col min="15" max="256" width="9.140625" style="145"/>
    <col min="257" max="257" width="4" style="145" customWidth="1"/>
    <col min="258" max="258" width="10.5703125" style="145" customWidth="1"/>
    <col min="259" max="259" width="11.140625" style="145" customWidth="1"/>
    <col min="260" max="260" width="8.7109375" style="145" customWidth="1"/>
    <col min="261" max="261" width="8" style="145" customWidth="1"/>
    <col min="262" max="262" width="10.28515625" style="145" customWidth="1"/>
    <col min="263" max="263" width="7.140625" style="145" customWidth="1"/>
    <col min="264" max="264" width="6.85546875" style="145" customWidth="1"/>
    <col min="265" max="265" width="11.7109375" style="145" customWidth="1"/>
    <col min="266" max="266" width="11.5703125" style="145" customWidth="1"/>
    <col min="267" max="267" width="9.140625" style="145"/>
    <col min="268" max="268" width="10.5703125" style="145" bestFit="1" customWidth="1"/>
    <col min="269" max="269" width="9.140625" style="145"/>
    <col min="270" max="270" width="12.140625" style="145" customWidth="1"/>
    <col min="271" max="512" width="9.140625" style="145"/>
    <col min="513" max="513" width="4" style="145" customWidth="1"/>
    <col min="514" max="514" width="10.5703125" style="145" customWidth="1"/>
    <col min="515" max="515" width="11.140625" style="145" customWidth="1"/>
    <col min="516" max="516" width="8.7109375" style="145" customWidth="1"/>
    <col min="517" max="517" width="8" style="145" customWidth="1"/>
    <col min="518" max="518" width="10.28515625" style="145" customWidth="1"/>
    <col min="519" max="519" width="7.140625" style="145" customWidth="1"/>
    <col min="520" max="520" width="6.85546875" style="145" customWidth="1"/>
    <col min="521" max="521" width="11.7109375" style="145" customWidth="1"/>
    <col min="522" max="522" width="11.5703125" style="145" customWidth="1"/>
    <col min="523" max="523" width="9.140625" style="145"/>
    <col min="524" max="524" width="10.5703125" style="145" bestFit="1" customWidth="1"/>
    <col min="525" max="525" width="9.140625" style="145"/>
    <col min="526" max="526" width="12.140625" style="145" customWidth="1"/>
    <col min="527" max="768" width="9.140625" style="145"/>
    <col min="769" max="769" width="4" style="145" customWidth="1"/>
    <col min="770" max="770" width="10.5703125" style="145" customWidth="1"/>
    <col min="771" max="771" width="11.140625" style="145" customWidth="1"/>
    <col min="772" max="772" width="8.7109375" style="145" customWidth="1"/>
    <col min="773" max="773" width="8" style="145" customWidth="1"/>
    <col min="774" max="774" width="10.28515625" style="145" customWidth="1"/>
    <col min="775" max="775" width="7.140625" style="145" customWidth="1"/>
    <col min="776" max="776" width="6.85546875" style="145" customWidth="1"/>
    <col min="777" max="777" width="11.7109375" style="145" customWidth="1"/>
    <col min="778" max="778" width="11.5703125" style="145" customWidth="1"/>
    <col min="779" max="779" width="9.140625" style="145"/>
    <col min="780" max="780" width="10.5703125" style="145" bestFit="1" customWidth="1"/>
    <col min="781" max="781" width="9.140625" style="145"/>
    <col min="782" max="782" width="12.140625" style="145" customWidth="1"/>
    <col min="783" max="1024" width="9.140625" style="145"/>
    <col min="1025" max="1025" width="4" style="145" customWidth="1"/>
    <col min="1026" max="1026" width="10.5703125" style="145" customWidth="1"/>
    <col min="1027" max="1027" width="11.140625" style="145" customWidth="1"/>
    <col min="1028" max="1028" width="8.7109375" style="145" customWidth="1"/>
    <col min="1029" max="1029" width="8" style="145" customWidth="1"/>
    <col min="1030" max="1030" width="10.28515625" style="145" customWidth="1"/>
    <col min="1031" max="1031" width="7.140625" style="145" customWidth="1"/>
    <col min="1032" max="1032" width="6.85546875" style="145" customWidth="1"/>
    <col min="1033" max="1033" width="11.7109375" style="145" customWidth="1"/>
    <col min="1034" max="1034" width="11.5703125" style="145" customWidth="1"/>
    <col min="1035" max="1035" width="9.140625" style="145"/>
    <col min="1036" max="1036" width="10.5703125" style="145" bestFit="1" customWidth="1"/>
    <col min="1037" max="1037" width="9.140625" style="145"/>
    <col min="1038" max="1038" width="12.140625" style="145" customWidth="1"/>
    <col min="1039" max="1280" width="9.140625" style="145"/>
    <col min="1281" max="1281" width="4" style="145" customWidth="1"/>
    <col min="1282" max="1282" width="10.5703125" style="145" customWidth="1"/>
    <col min="1283" max="1283" width="11.140625" style="145" customWidth="1"/>
    <col min="1284" max="1284" width="8.7109375" style="145" customWidth="1"/>
    <col min="1285" max="1285" width="8" style="145" customWidth="1"/>
    <col min="1286" max="1286" width="10.28515625" style="145" customWidth="1"/>
    <col min="1287" max="1287" width="7.140625" style="145" customWidth="1"/>
    <col min="1288" max="1288" width="6.85546875" style="145" customWidth="1"/>
    <col min="1289" max="1289" width="11.7109375" style="145" customWidth="1"/>
    <col min="1290" max="1290" width="11.5703125" style="145" customWidth="1"/>
    <col min="1291" max="1291" width="9.140625" style="145"/>
    <col min="1292" max="1292" width="10.5703125" style="145" bestFit="1" customWidth="1"/>
    <col min="1293" max="1293" width="9.140625" style="145"/>
    <col min="1294" max="1294" width="12.140625" style="145" customWidth="1"/>
    <col min="1295" max="1536" width="9.140625" style="145"/>
    <col min="1537" max="1537" width="4" style="145" customWidth="1"/>
    <col min="1538" max="1538" width="10.5703125" style="145" customWidth="1"/>
    <col min="1539" max="1539" width="11.140625" style="145" customWidth="1"/>
    <col min="1540" max="1540" width="8.7109375" style="145" customWidth="1"/>
    <col min="1541" max="1541" width="8" style="145" customWidth="1"/>
    <col min="1542" max="1542" width="10.28515625" style="145" customWidth="1"/>
    <col min="1543" max="1543" width="7.140625" style="145" customWidth="1"/>
    <col min="1544" max="1544" width="6.85546875" style="145" customWidth="1"/>
    <col min="1545" max="1545" width="11.7109375" style="145" customWidth="1"/>
    <col min="1546" max="1546" width="11.5703125" style="145" customWidth="1"/>
    <col min="1547" max="1547" width="9.140625" style="145"/>
    <col min="1548" max="1548" width="10.5703125" style="145" bestFit="1" customWidth="1"/>
    <col min="1549" max="1549" width="9.140625" style="145"/>
    <col min="1550" max="1550" width="12.140625" style="145" customWidth="1"/>
    <col min="1551" max="1792" width="9.140625" style="145"/>
    <col min="1793" max="1793" width="4" style="145" customWidth="1"/>
    <col min="1794" max="1794" width="10.5703125" style="145" customWidth="1"/>
    <col min="1795" max="1795" width="11.140625" style="145" customWidth="1"/>
    <col min="1796" max="1796" width="8.7109375" style="145" customWidth="1"/>
    <col min="1797" max="1797" width="8" style="145" customWidth="1"/>
    <col min="1798" max="1798" width="10.28515625" style="145" customWidth="1"/>
    <col min="1799" max="1799" width="7.140625" style="145" customWidth="1"/>
    <col min="1800" max="1800" width="6.85546875" style="145" customWidth="1"/>
    <col min="1801" max="1801" width="11.7109375" style="145" customWidth="1"/>
    <col min="1802" max="1802" width="11.5703125" style="145" customWidth="1"/>
    <col min="1803" max="1803" width="9.140625" style="145"/>
    <col min="1804" max="1804" width="10.5703125" style="145" bestFit="1" customWidth="1"/>
    <col min="1805" max="1805" width="9.140625" style="145"/>
    <col min="1806" max="1806" width="12.140625" style="145" customWidth="1"/>
    <col min="1807" max="2048" width="9.140625" style="145"/>
    <col min="2049" max="2049" width="4" style="145" customWidth="1"/>
    <col min="2050" max="2050" width="10.5703125" style="145" customWidth="1"/>
    <col min="2051" max="2051" width="11.140625" style="145" customWidth="1"/>
    <col min="2052" max="2052" width="8.7109375" style="145" customWidth="1"/>
    <col min="2053" max="2053" width="8" style="145" customWidth="1"/>
    <col min="2054" max="2054" width="10.28515625" style="145" customWidth="1"/>
    <col min="2055" max="2055" width="7.140625" style="145" customWidth="1"/>
    <col min="2056" max="2056" width="6.85546875" style="145" customWidth="1"/>
    <col min="2057" max="2057" width="11.7109375" style="145" customWidth="1"/>
    <col min="2058" max="2058" width="11.5703125" style="145" customWidth="1"/>
    <col min="2059" max="2059" width="9.140625" style="145"/>
    <col min="2060" max="2060" width="10.5703125" style="145" bestFit="1" customWidth="1"/>
    <col min="2061" max="2061" width="9.140625" style="145"/>
    <col min="2062" max="2062" width="12.140625" style="145" customWidth="1"/>
    <col min="2063" max="2304" width="9.140625" style="145"/>
    <col min="2305" max="2305" width="4" style="145" customWidth="1"/>
    <col min="2306" max="2306" width="10.5703125" style="145" customWidth="1"/>
    <col min="2307" max="2307" width="11.140625" style="145" customWidth="1"/>
    <col min="2308" max="2308" width="8.7109375" style="145" customWidth="1"/>
    <col min="2309" max="2309" width="8" style="145" customWidth="1"/>
    <col min="2310" max="2310" width="10.28515625" style="145" customWidth="1"/>
    <col min="2311" max="2311" width="7.140625" style="145" customWidth="1"/>
    <col min="2312" max="2312" width="6.85546875" style="145" customWidth="1"/>
    <col min="2313" max="2313" width="11.7109375" style="145" customWidth="1"/>
    <col min="2314" max="2314" width="11.5703125" style="145" customWidth="1"/>
    <col min="2315" max="2315" width="9.140625" style="145"/>
    <col min="2316" max="2316" width="10.5703125" style="145" bestFit="1" customWidth="1"/>
    <col min="2317" max="2317" width="9.140625" style="145"/>
    <col min="2318" max="2318" width="12.140625" style="145" customWidth="1"/>
    <col min="2319" max="2560" width="9.140625" style="145"/>
    <col min="2561" max="2561" width="4" style="145" customWidth="1"/>
    <col min="2562" max="2562" width="10.5703125" style="145" customWidth="1"/>
    <col min="2563" max="2563" width="11.140625" style="145" customWidth="1"/>
    <col min="2564" max="2564" width="8.7109375" style="145" customWidth="1"/>
    <col min="2565" max="2565" width="8" style="145" customWidth="1"/>
    <col min="2566" max="2566" width="10.28515625" style="145" customWidth="1"/>
    <col min="2567" max="2567" width="7.140625" style="145" customWidth="1"/>
    <col min="2568" max="2568" width="6.85546875" style="145" customWidth="1"/>
    <col min="2569" max="2569" width="11.7109375" style="145" customWidth="1"/>
    <col min="2570" max="2570" width="11.5703125" style="145" customWidth="1"/>
    <col min="2571" max="2571" width="9.140625" style="145"/>
    <col min="2572" max="2572" width="10.5703125" style="145" bestFit="1" customWidth="1"/>
    <col min="2573" max="2573" width="9.140625" style="145"/>
    <col min="2574" max="2574" width="12.140625" style="145" customWidth="1"/>
    <col min="2575" max="2816" width="9.140625" style="145"/>
    <col min="2817" max="2817" width="4" style="145" customWidth="1"/>
    <col min="2818" max="2818" width="10.5703125" style="145" customWidth="1"/>
    <col min="2819" max="2819" width="11.140625" style="145" customWidth="1"/>
    <col min="2820" max="2820" width="8.7109375" style="145" customWidth="1"/>
    <col min="2821" max="2821" width="8" style="145" customWidth="1"/>
    <col min="2822" max="2822" width="10.28515625" style="145" customWidth="1"/>
    <col min="2823" max="2823" width="7.140625" style="145" customWidth="1"/>
    <col min="2824" max="2824" width="6.85546875" style="145" customWidth="1"/>
    <col min="2825" max="2825" width="11.7109375" style="145" customWidth="1"/>
    <col min="2826" max="2826" width="11.5703125" style="145" customWidth="1"/>
    <col min="2827" max="2827" width="9.140625" style="145"/>
    <col min="2828" max="2828" width="10.5703125" style="145" bestFit="1" customWidth="1"/>
    <col min="2829" max="2829" width="9.140625" style="145"/>
    <col min="2830" max="2830" width="12.140625" style="145" customWidth="1"/>
    <col min="2831" max="3072" width="9.140625" style="145"/>
    <col min="3073" max="3073" width="4" style="145" customWidth="1"/>
    <col min="3074" max="3074" width="10.5703125" style="145" customWidth="1"/>
    <col min="3075" max="3075" width="11.140625" style="145" customWidth="1"/>
    <col min="3076" max="3076" width="8.7109375" style="145" customWidth="1"/>
    <col min="3077" max="3077" width="8" style="145" customWidth="1"/>
    <col min="3078" max="3078" width="10.28515625" style="145" customWidth="1"/>
    <col min="3079" max="3079" width="7.140625" style="145" customWidth="1"/>
    <col min="3080" max="3080" width="6.85546875" style="145" customWidth="1"/>
    <col min="3081" max="3081" width="11.7109375" style="145" customWidth="1"/>
    <col min="3082" max="3082" width="11.5703125" style="145" customWidth="1"/>
    <col min="3083" max="3083" width="9.140625" style="145"/>
    <col min="3084" max="3084" width="10.5703125" style="145" bestFit="1" customWidth="1"/>
    <col min="3085" max="3085" width="9.140625" style="145"/>
    <col min="3086" max="3086" width="12.140625" style="145" customWidth="1"/>
    <col min="3087" max="3328" width="9.140625" style="145"/>
    <col min="3329" max="3329" width="4" style="145" customWidth="1"/>
    <col min="3330" max="3330" width="10.5703125" style="145" customWidth="1"/>
    <col min="3331" max="3331" width="11.140625" style="145" customWidth="1"/>
    <col min="3332" max="3332" width="8.7109375" style="145" customWidth="1"/>
    <col min="3333" max="3333" width="8" style="145" customWidth="1"/>
    <col min="3334" max="3334" width="10.28515625" style="145" customWidth="1"/>
    <col min="3335" max="3335" width="7.140625" style="145" customWidth="1"/>
    <col min="3336" max="3336" width="6.85546875" style="145" customWidth="1"/>
    <col min="3337" max="3337" width="11.7109375" style="145" customWidth="1"/>
    <col min="3338" max="3338" width="11.5703125" style="145" customWidth="1"/>
    <col min="3339" max="3339" width="9.140625" style="145"/>
    <col min="3340" max="3340" width="10.5703125" style="145" bestFit="1" customWidth="1"/>
    <col min="3341" max="3341" width="9.140625" style="145"/>
    <col min="3342" max="3342" width="12.140625" style="145" customWidth="1"/>
    <col min="3343" max="3584" width="9.140625" style="145"/>
    <col min="3585" max="3585" width="4" style="145" customWidth="1"/>
    <col min="3586" max="3586" width="10.5703125" style="145" customWidth="1"/>
    <col min="3587" max="3587" width="11.140625" style="145" customWidth="1"/>
    <col min="3588" max="3588" width="8.7109375" style="145" customWidth="1"/>
    <col min="3589" max="3589" width="8" style="145" customWidth="1"/>
    <col min="3590" max="3590" width="10.28515625" style="145" customWidth="1"/>
    <col min="3591" max="3591" width="7.140625" style="145" customWidth="1"/>
    <col min="3592" max="3592" width="6.85546875" style="145" customWidth="1"/>
    <col min="3593" max="3593" width="11.7109375" style="145" customWidth="1"/>
    <col min="3594" max="3594" width="11.5703125" style="145" customWidth="1"/>
    <col min="3595" max="3595" width="9.140625" style="145"/>
    <col min="3596" max="3596" width="10.5703125" style="145" bestFit="1" customWidth="1"/>
    <col min="3597" max="3597" width="9.140625" style="145"/>
    <col min="3598" max="3598" width="12.140625" style="145" customWidth="1"/>
    <col min="3599" max="3840" width="9.140625" style="145"/>
    <col min="3841" max="3841" width="4" style="145" customWidth="1"/>
    <col min="3842" max="3842" width="10.5703125" style="145" customWidth="1"/>
    <col min="3843" max="3843" width="11.140625" style="145" customWidth="1"/>
    <col min="3844" max="3844" width="8.7109375" style="145" customWidth="1"/>
    <col min="3845" max="3845" width="8" style="145" customWidth="1"/>
    <col min="3846" max="3846" width="10.28515625" style="145" customWidth="1"/>
    <col min="3847" max="3847" width="7.140625" style="145" customWidth="1"/>
    <col min="3848" max="3848" width="6.85546875" style="145" customWidth="1"/>
    <col min="3849" max="3849" width="11.7109375" style="145" customWidth="1"/>
    <col min="3850" max="3850" width="11.5703125" style="145" customWidth="1"/>
    <col min="3851" max="3851" width="9.140625" style="145"/>
    <col min="3852" max="3852" width="10.5703125" style="145" bestFit="1" customWidth="1"/>
    <col min="3853" max="3853" width="9.140625" style="145"/>
    <col min="3854" max="3854" width="12.140625" style="145" customWidth="1"/>
    <col min="3855" max="4096" width="9.140625" style="145"/>
    <col min="4097" max="4097" width="4" style="145" customWidth="1"/>
    <col min="4098" max="4098" width="10.5703125" style="145" customWidth="1"/>
    <col min="4099" max="4099" width="11.140625" style="145" customWidth="1"/>
    <col min="4100" max="4100" width="8.7109375" style="145" customWidth="1"/>
    <col min="4101" max="4101" width="8" style="145" customWidth="1"/>
    <col min="4102" max="4102" width="10.28515625" style="145" customWidth="1"/>
    <col min="4103" max="4103" width="7.140625" style="145" customWidth="1"/>
    <col min="4104" max="4104" width="6.85546875" style="145" customWidth="1"/>
    <col min="4105" max="4105" width="11.7109375" style="145" customWidth="1"/>
    <col min="4106" max="4106" width="11.5703125" style="145" customWidth="1"/>
    <col min="4107" max="4107" width="9.140625" style="145"/>
    <col min="4108" max="4108" width="10.5703125" style="145" bestFit="1" customWidth="1"/>
    <col min="4109" max="4109" width="9.140625" style="145"/>
    <col min="4110" max="4110" width="12.140625" style="145" customWidth="1"/>
    <col min="4111" max="4352" width="9.140625" style="145"/>
    <col min="4353" max="4353" width="4" style="145" customWidth="1"/>
    <col min="4354" max="4354" width="10.5703125" style="145" customWidth="1"/>
    <col min="4355" max="4355" width="11.140625" style="145" customWidth="1"/>
    <col min="4356" max="4356" width="8.7109375" style="145" customWidth="1"/>
    <col min="4357" max="4357" width="8" style="145" customWidth="1"/>
    <col min="4358" max="4358" width="10.28515625" style="145" customWidth="1"/>
    <col min="4359" max="4359" width="7.140625" style="145" customWidth="1"/>
    <col min="4360" max="4360" width="6.85546875" style="145" customWidth="1"/>
    <col min="4361" max="4361" width="11.7109375" style="145" customWidth="1"/>
    <col min="4362" max="4362" width="11.5703125" style="145" customWidth="1"/>
    <col min="4363" max="4363" width="9.140625" style="145"/>
    <col min="4364" max="4364" width="10.5703125" style="145" bestFit="1" customWidth="1"/>
    <col min="4365" max="4365" width="9.140625" style="145"/>
    <col min="4366" max="4366" width="12.140625" style="145" customWidth="1"/>
    <col min="4367" max="4608" width="9.140625" style="145"/>
    <col min="4609" max="4609" width="4" style="145" customWidth="1"/>
    <col min="4610" max="4610" width="10.5703125" style="145" customWidth="1"/>
    <col min="4611" max="4611" width="11.140625" style="145" customWidth="1"/>
    <col min="4612" max="4612" width="8.7109375" style="145" customWidth="1"/>
    <col min="4613" max="4613" width="8" style="145" customWidth="1"/>
    <col min="4614" max="4614" width="10.28515625" style="145" customWidth="1"/>
    <col min="4615" max="4615" width="7.140625" style="145" customWidth="1"/>
    <col min="4616" max="4616" width="6.85546875" style="145" customWidth="1"/>
    <col min="4617" max="4617" width="11.7109375" style="145" customWidth="1"/>
    <col min="4618" max="4618" width="11.5703125" style="145" customWidth="1"/>
    <col min="4619" max="4619" width="9.140625" style="145"/>
    <col min="4620" max="4620" width="10.5703125" style="145" bestFit="1" customWidth="1"/>
    <col min="4621" max="4621" width="9.140625" style="145"/>
    <col min="4622" max="4622" width="12.140625" style="145" customWidth="1"/>
    <col min="4623" max="4864" width="9.140625" style="145"/>
    <col min="4865" max="4865" width="4" style="145" customWidth="1"/>
    <col min="4866" max="4866" width="10.5703125" style="145" customWidth="1"/>
    <col min="4867" max="4867" width="11.140625" style="145" customWidth="1"/>
    <col min="4868" max="4868" width="8.7109375" style="145" customWidth="1"/>
    <col min="4869" max="4869" width="8" style="145" customWidth="1"/>
    <col min="4870" max="4870" width="10.28515625" style="145" customWidth="1"/>
    <col min="4871" max="4871" width="7.140625" style="145" customWidth="1"/>
    <col min="4872" max="4872" width="6.85546875" style="145" customWidth="1"/>
    <col min="4873" max="4873" width="11.7109375" style="145" customWidth="1"/>
    <col min="4874" max="4874" width="11.5703125" style="145" customWidth="1"/>
    <col min="4875" max="4875" width="9.140625" style="145"/>
    <col min="4876" max="4876" width="10.5703125" style="145" bestFit="1" customWidth="1"/>
    <col min="4877" max="4877" width="9.140625" style="145"/>
    <col min="4878" max="4878" width="12.140625" style="145" customWidth="1"/>
    <col min="4879" max="5120" width="9.140625" style="145"/>
    <col min="5121" max="5121" width="4" style="145" customWidth="1"/>
    <col min="5122" max="5122" width="10.5703125" style="145" customWidth="1"/>
    <col min="5123" max="5123" width="11.140625" style="145" customWidth="1"/>
    <col min="5124" max="5124" width="8.7109375" style="145" customWidth="1"/>
    <col min="5125" max="5125" width="8" style="145" customWidth="1"/>
    <col min="5126" max="5126" width="10.28515625" style="145" customWidth="1"/>
    <col min="5127" max="5127" width="7.140625" style="145" customWidth="1"/>
    <col min="5128" max="5128" width="6.85546875" style="145" customWidth="1"/>
    <col min="5129" max="5129" width="11.7109375" style="145" customWidth="1"/>
    <col min="5130" max="5130" width="11.5703125" style="145" customWidth="1"/>
    <col min="5131" max="5131" width="9.140625" style="145"/>
    <col min="5132" max="5132" width="10.5703125" style="145" bestFit="1" customWidth="1"/>
    <col min="5133" max="5133" width="9.140625" style="145"/>
    <col min="5134" max="5134" width="12.140625" style="145" customWidth="1"/>
    <col min="5135" max="5376" width="9.140625" style="145"/>
    <col min="5377" max="5377" width="4" style="145" customWidth="1"/>
    <col min="5378" max="5378" width="10.5703125" style="145" customWidth="1"/>
    <col min="5379" max="5379" width="11.140625" style="145" customWidth="1"/>
    <col min="5380" max="5380" width="8.7109375" style="145" customWidth="1"/>
    <col min="5381" max="5381" width="8" style="145" customWidth="1"/>
    <col min="5382" max="5382" width="10.28515625" style="145" customWidth="1"/>
    <col min="5383" max="5383" width="7.140625" style="145" customWidth="1"/>
    <col min="5384" max="5384" width="6.85546875" style="145" customWidth="1"/>
    <col min="5385" max="5385" width="11.7109375" style="145" customWidth="1"/>
    <col min="5386" max="5386" width="11.5703125" style="145" customWidth="1"/>
    <col min="5387" max="5387" width="9.140625" style="145"/>
    <col min="5388" max="5388" width="10.5703125" style="145" bestFit="1" customWidth="1"/>
    <col min="5389" max="5389" width="9.140625" style="145"/>
    <col min="5390" max="5390" width="12.140625" style="145" customWidth="1"/>
    <col min="5391" max="5632" width="9.140625" style="145"/>
    <col min="5633" max="5633" width="4" style="145" customWidth="1"/>
    <col min="5634" max="5634" width="10.5703125" style="145" customWidth="1"/>
    <col min="5635" max="5635" width="11.140625" style="145" customWidth="1"/>
    <col min="5636" max="5636" width="8.7109375" style="145" customWidth="1"/>
    <col min="5637" max="5637" width="8" style="145" customWidth="1"/>
    <col min="5638" max="5638" width="10.28515625" style="145" customWidth="1"/>
    <col min="5639" max="5639" width="7.140625" style="145" customWidth="1"/>
    <col min="5640" max="5640" width="6.85546875" style="145" customWidth="1"/>
    <col min="5641" max="5641" width="11.7109375" style="145" customWidth="1"/>
    <col min="5642" max="5642" width="11.5703125" style="145" customWidth="1"/>
    <col min="5643" max="5643" width="9.140625" style="145"/>
    <col min="5644" max="5644" width="10.5703125" style="145" bestFit="1" customWidth="1"/>
    <col min="5645" max="5645" width="9.140625" style="145"/>
    <col min="5646" max="5646" width="12.140625" style="145" customWidth="1"/>
    <col min="5647" max="5888" width="9.140625" style="145"/>
    <col min="5889" max="5889" width="4" style="145" customWidth="1"/>
    <col min="5890" max="5890" width="10.5703125" style="145" customWidth="1"/>
    <col min="5891" max="5891" width="11.140625" style="145" customWidth="1"/>
    <col min="5892" max="5892" width="8.7109375" style="145" customWidth="1"/>
    <col min="5893" max="5893" width="8" style="145" customWidth="1"/>
    <col min="5894" max="5894" width="10.28515625" style="145" customWidth="1"/>
    <col min="5895" max="5895" width="7.140625" style="145" customWidth="1"/>
    <col min="5896" max="5896" width="6.85546875" style="145" customWidth="1"/>
    <col min="5897" max="5897" width="11.7109375" style="145" customWidth="1"/>
    <col min="5898" max="5898" width="11.5703125" style="145" customWidth="1"/>
    <col min="5899" max="5899" width="9.140625" style="145"/>
    <col min="5900" max="5900" width="10.5703125" style="145" bestFit="1" customWidth="1"/>
    <col min="5901" max="5901" width="9.140625" style="145"/>
    <col min="5902" max="5902" width="12.140625" style="145" customWidth="1"/>
    <col min="5903" max="6144" width="9.140625" style="145"/>
    <col min="6145" max="6145" width="4" style="145" customWidth="1"/>
    <col min="6146" max="6146" width="10.5703125" style="145" customWidth="1"/>
    <col min="6147" max="6147" width="11.140625" style="145" customWidth="1"/>
    <col min="6148" max="6148" width="8.7109375" style="145" customWidth="1"/>
    <col min="6149" max="6149" width="8" style="145" customWidth="1"/>
    <col min="6150" max="6150" width="10.28515625" style="145" customWidth="1"/>
    <col min="6151" max="6151" width="7.140625" style="145" customWidth="1"/>
    <col min="6152" max="6152" width="6.85546875" style="145" customWidth="1"/>
    <col min="6153" max="6153" width="11.7109375" style="145" customWidth="1"/>
    <col min="6154" max="6154" width="11.5703125" style="145" customWidth="1"/>
    <col min="6155" max="6155" width="9.140625" style="145"/>
    <col min="6156" max="6156" width="10.5703125" style="145" bestFit="1" customWidth="1"/>
    <col min="6157" max="6157" width="9.140625" style="145"/>
    <col min="6158" max="6158" width="12.140625" style="145" customWidth="1"/>
    <col min="6159" max="6400" width="9.140625" style="145"/>
    <col min="6401" max="6401" width="4" style="145" customWidth="1"/>
    <col min="6402" max="6402" width="10.5703125" style="145" customWidth="1"/>
    <col min="6403" max="6403" width="11.140625" style="145" customWidth="1"/>
    <col min="6404" max="6404" width="8.7109375" style="145" customWidth="1"/>
    <col min="6405" max="6405" width="8" style="145" customWidth="1"/>
    <col min="6406" max="6406" width="10.28515625" style="145" customWidth="1"/>
    <col min="6407" max="6407" width="7.140625" style="145" customWidth="1"/>
    <col min="6408" max="6408" width="6.85546875" style="145" customWidth="1"/>
    <col min="6409" max="6409" width="11.7109375" style="145" customWidth="1"/>
    <col min="6410" max="6410" width="11.5703125" style="145" customWidth="1"/>
    <col min="6411" max="6411" width="9.140625" style="145"/>
    <col min="6412" max="6412" width="10.5703125" style="145" bestFit="1" customWidth="1"/>
    <col min="6413" max="6413" width="9.140625" style="145"/>
    <col min="6414" max="6414" width="12.140625" style="145" customWidth="1"/>
    <col min="6415" max="6656" width="9.140625" style="145"/>
    <col min="6657" max="6657" width="4" style="145" customWidth="1"/>
    <col min="6658" max="6658" width="10.5703125" style="145" customWidth="1"/>
    <col min="6659" max="6659" width="11.140625" style="145" customWidth="1"/>
    <col min="6660" max="6660" width="8.7109375" style="145" customWidth="1"/>
    <col min="6661" max="6661" width="8" style="145" customWidth="1"/>
    <col min="6662" max="6662" width="10.28515625" style="145" customWidth="1"/>
    <col min="6663" max="6663" width="7.140625" style="145" customWidth="1"/>
    <col min="6664" max="6664" width="6.85546875" style="145" customWidth="1"/>
    <col min="6665" max="6665" width="11.7109375" style="145" customWidth="1"/>
    <col min="6666" max="6666" width="11.5703125" style="145" customWidth="1"/>
    <col min="6667" max="6667" width="9.140625" style="145"/>
    <col min="6668" max="6668" width="10.5703125" style="145" bestFit="1" customWidth="1"/>
    <col min="6669" max="6669" width="9.140625" style="145"/>
    <col min="6670" max="6670" width="12.140625" style="145" customWidth="1"/>
    <col min="6671" max="6912" width="9.140625" style="145"/>
    <col min="6913" max="6913" width="4" style="145" customWidth="1"/>
    <col min="6914" max="6914" width="10.5703125" style="145" customWidth="1"/>
    <col min="6915" max="6915" width="11.140625" style="145" customWidth="1"/>
    <col min="6916" max="6916" width="8.7109375" style="145" customWidth="1"/>
    <col min="6917" max="6917" width="8" style="145" customWidth="1"/>
    <col min="6918" max="6918" width="10.28515625" style="145" customWidth="1"/>
    <col min="6919" max="6919" width="7.140625" style="145" customWidth="1"/>
    <col min="6920" max="6920" width="6.85546875" style="145" customWidth="1"/>
    <col min="6921" max="6921" width="11.7109375" style="145" customWidth="1"/>
    <col min="6922" max="6922" width="11.5703125" style="145" customWidth="1"/>
    <col min="6923" max="6923" width="9.140625" style="145"/>
    <col min="6924" max="6924" width="10.5703125" style="145" bestFit="1" customWidth="1"/>
    <col min="6925" max="6925" width="9.140625" style="145"/>
    <col min="6926" max="6926" width="12.140625" style="145" customWidth="1"/>
    <col min="6927" max="7168" width="9.140625" style="145"/>
    <col min="7169" max="7169" width="4" style="145" customWidth="1"/>
    <col min="7170" max="7170" width="10.5703125" style="145" customWidth="1"/>
    <col min="7171" max="7171" width="11.140625" style="145" customWidth="1"/>
    <col min="7172" max="7172" width="8.7109375" style="145" customWidth="1"/>
    <col min="7173" max="7173" width="8" style="145" customWidth="1"/>
    <col min="7174" max="7174" width="10.28515625" style="145" customWidth="1"/>
    <col min="7175" max="7175" width="7.140625" style="145" customWidth="1"/>
    <col min="7176" max="7176" width="6.85546875" style="145" customWidth="1"/>
    <col min="7177" max="7177" width="11.7109375" style="145" customWidth="1"/>
    <col min="7178" max="7178" width="11.5703125" style="145" customWidth="1"/>
    <col min="7179" max="7179" width="9.140625" style="145"/>
    <col min="7180" max="7180" width="10.5703125" style="145" bestFit="1" customWidth="1"/>
    <col min="7181" max="7181" width="9.140625" style="145"/>
    <col min="7182" max="7182" width="12.140625" style="145" customWidth="1"/>
    <col min="7183" max="7424" width="9.140625" style="145"/>
    <col min="7425" max="7425" width="4" style="145" customWidth="1"/>
    <col min="7426" max="7426" width="10.5703125" style="145" customWidth="1"/>
    <col min="7427" max="7427" width="11.140625" style="145" customWidth="1"/>
    <col min="7428" max="7428" width="8.7109375" style="145" customWidth="1"/>
    <col min="7429" max="7429" width="8" style="145" customWidth="1"/>
    <col min="7430" max="7430" width="10.28515625" style="145" customWidth="1"/>
    <col min="7431" max="7431" width="7.140625" style="145" customWidth="1"/>
    <col min="7432" max="7432" width="6.85546875" style="145" customWidth="1"/>
    <col min="7433" max="7433" width="11.7109375" style="145" customWidth="1"/>
    <col min="7434" max="7434" width="11.5703125" style="145" customWidth="1"/>
    <col min="7435" max="7435" width="9.140625" style="145"/>
    <col min="7436" max="7436" width="10.5703125" style="145" bestFit="1" customWidth="1"/>
    <col min="7437" max="7437" width="9.140625" style="145"/>
    <col min="7438" max="7438" width="12.140625" style="145" customWidth="1"/>
    <col min="7439" max="7680" width="9.140625" style="145"/>
    <col min="7681" max="7681" width="4" style="145" customWidth="1"/>
    <col min="7682" max="7682" width="10.5703125" style="145" customWidth="1"/>
    <col min="7683" max="7683" width="11.140625" style="145" customWidth="1"/>
    <col min="7684" max="7684" width="8.7109375" style="145" customWidth="1"/>
    <col min="7685" max="7685" width="8" style="145" customWidth="1"/>
    <col min="7686" max="7686" width="10.28515625" style="145" customWidth="1"/>
    <col min="7687" max="7687" width="7.140625" style="145" customWidth="1"/>
    <col min="7688" max="7688" width="6.85546875" style="145" customWidth="1"/>
    <col min="7689" max="7689" width="11.7109375" style="145" customWidth="1"/>
    <col min="7690" max="7690" width="11.5703125" style="145" customWidth="1"/>
    <col min="7691" max="7691" width="9.140625" style="145"/>
    <col min="7692" max="7692" width="10.5703125" style="145" bestFit="1" customWidth="1"/>
    <col min="7693" max="7693" width="9.140625" style="145"/>
    <col min="7694" max="7694" width="12.140625" style="145" customWidth="1"/>
    <col min="7695" max="7936" width="9.140625" style="145"/>
    <col min="7937" max="7937" width="4" style="145" customWidth="1"/>
    <col min="7938" max="7938" width="10.5703125" style="145" customWidth="1"/>
    <col min="7939" max="7939" width="11.140625" style="145" customWidth="1"/>
    <col min="7940" max="7940" width="8.7109375" style="145" customWidth="1"/>
    <col min="7941" max="7941" width="8" style="145" customWidth="1"/>
    <col min="7942" max="7942" width="10.28515625" style="145" customWidth="1"/>
    <col min="7943" max="7943" width="7.140625" style="145" customWidth="1"/>
    <col min="7944" max="7944" width="6.85546875" style="145" customWidth="1"/>
    <col min="7945" max="7945" width="11.7109375" style="145" customWidth="1"/>
    <col min="7946" max="7946" width="11.5703125" style="145" customWidth="1"/>
    <col min="7947" max="7947" width="9.140625" style="145"/>
    <col min="7948" max="7948" width="10.5703125" style="145" bestFit="1" customWidth="1"/>
    <col min="7949" max="7949" width="9.140625" style="145"/>
    <col min="7950" max="7950" width="12.140625" style="145" customWidth="1"/>
    <col min="7951" max="8192" width="9.140625" style="145"/>
    <col min="8193" max="8193" width="4" style="145" customWidth="1"/>
    <col min="8194" max="8194" width="10.5703125" style="145" customWidth="1"/>
    <col min="8195" max="8195" width="11.140625" style="145" customWidth="1"/>
    <col min="8196" max="8196" width="8.7109375" style="145" customWidth="1"/>
    <col min="8197" max="8197" width="8" style="145" customWidth="1"/>
    <col min="8198" max="8198" width="10.28515625" style="145" customWidth="1"/>
    <col min="8199" max="8199" width="7.140625" style="145" customWidth="1"/>
    <col min="8200" max="8200" width="6.85546875" style="145" customWidth="1"/>
    <col min="8201" max="8201" width="11.7109375" style="145" customWidth="1"/>
    <col min="8202" max="8202" width="11.5703125" style="145" customWidth="1"/>
    <col min="8203" max="8203" width="9.140625" style="145"/>
    <col min="8204" max="8204" width="10.5703125" style="145" bestFit="1" customWidth="1"/>
    <col min="8205" max="8205" width="9.140625" style="145"/>
    <col min="8206" max="8206" width="12.140625" style="145" customWidth="1"/>
    <col min="8207" max="8448" width="9.140625" style="145"/>
    <col min="8449" max="8449" width="4" style="145" customWidth="1"/>
    <col min="8450" max="8450" width="10.5703125" style="145" customWidth="1"/>
    <col min="8451" max="8451" width="11.140625" style="145" customWidth="1"/>
    <col min="8452" max="8452" width="8.7109375" style="145" customWidth="1"/>
    <col min="8453" max="8453" width="8" style="145" customWidth="1"/>
    <col min="8454" max="8454" width="10.28515625" style="145" customWidth="1"/>
    <col min="8455" max="8455" width="7.140625" style="145" customWidth="1"/>
    <col min="8456" max="8456" width="6.85546875" style="145" customWidth="1"/>
    <col min="8457" max="8457" width="11.7109375" style="145" customWidth="1"/>
    <col min="8458" max="8458" width="11.5703125" style="145" customWidth="1"/>
    <col min="8459" max="8459" width="9.140625" style="145"/>
    <col min="8460" max="8460" width="10.5703125" style="145" bestFit="1" customWidth="1"/>
    <col min="8461" max="8461" width="9.140625" style="145"/>
    <col min="8462" max="8462" width="12.140625" style="145" customWidth="1"/>
    <col min="8463" max="8704" width="9.140625" style="145"/>
    <col min="8705" max="8705" width="4" style="145" customWidth="1"/>
    <col min="8706" max="8706" width="10.5703125" style="145" customWidth="1"/>
    <col min="8707" max="8707" width="11.140625" style="145" customWidth="1"/>
    <col min="8708" max="8708" width="8.7109375" style="145" customWidth="1"/>
    <col min="8709" max="8709" width="8" style="145" customWidth="1"/>
    <col min="8710" max="8710" width="10.28515625" style="145" customWidth="1"/>
    <col min="8711" max="8711" width="7.140625" style="145" customWidth="1"/>
    <col min="8712" max="8712" width="6.85546875" style="145" customWidth="1"/>
    <col min="8713" max="8713" width="11.7109375" style="145" customWidth="1"/>
    <col min="8714" max="8714" width="11.5703125" style="145" customWidth="1"/>
    <col min="8715" max="8715" width="9.140625" style="145"/>
    <col min="8716" max="8716" width="10.5703125" style="145" bestFit="1" customWidth="1"/>
    <col min="8717" max="8717" width="9.140625" style="145"/>
    <col min="8718" max="8718" width="12.140625" style="145" customWidth="1"/>
    <col min="8719" max="8960" width="9.140625" style="145"/>
    <col min="8961" max="8961" width="4" style="145" customWidth="1"/>
    <col min="8962" max="8962" width="10.5703125" style="145" customWidth="1"/>
    <col min="8963" max="8963" width="11.140625" style="145" customWidth="1"/>
    <col min="8964" max="8964" width="8.7109375" style="145" customWidth="1"/>
    <col min="8965" max="8965" width="8" style="145" customWidth="1"/>
    <col min="8966" max="8966" width="10.28515625" style="145" customWidth="1"/>
    <col min="8967" max="8967" width="7.140625" style="145" customWidth="1"/>
    <col min="8968" max="8968" width="6.85546875" style="145" customWidth="1"/>
    <col min="8969" max="8969" width="11.7109375" style="145" customWidth="1"/>
    <col min="8970" max="8970" width="11.5703125" style="145" customWidth="1"/>
    <col min="8971" max="8971" width="9.140625" style="145"/>
    <col min="8972" max="8972" width="10.5703125" style="145" bestFit="1" customWidth="1"/>
    <col min="8973" max="8973" width="9.140625" style="145"/>
    <col min="8974" max="8974" width="12.140625" style="145" customWidth="1"/>
    <col min="8975" max="9216" width="9.140625" style="145"/>
    <col min="9217" max="9217" width="4" style="145" customWidth="1"/>
    <col min="9218" max="9218" width="10.5703125" style="145" customWidth="1"/>
    <col min="9219" max="9219" width="11.140625" style="145" customWidth="1"/>
    <col min="9220" max="9220" width="8.7109375" style="145" customWidth="1"/>
    <col min="9221" max="9221" width="8" style="145" customWidth="1"/>
    <col min="9222" max="9222" width="10.28515625" style="145" customWidth="1"/>
    <col min="9223" max="9223" width="7.140625" style="145" customWidth="1"/>
    <col min="9224" max="9224" width="6.85546875" style="145" customWidth="1"/>
    <col min="9225" max="9225" width="11.7109375" style="145" customWidth="1"/>
    <col min="9226" max="9226" width="11.5703125" style="145" customWidth="1"/>
    <col min="9227" max="9227" width="9.140625" style="145"/>
    <col min="9228" max="9228" width="10.5703125" style="145" bestFit="1" customWidth="1"/>
    <col min="9229" max="9229" width="9.140625" style="145"/>
    <col min="9230" max="9230" width="12.140625" style="145" customWidth="1"/>
    <col min="9231" max="9472" width="9.140625" style="145"/>
    <col min="9473" max="9473" width="4" style="145" customWidth="1"/>
    <col min="9474" max="9474" width="10.5703125" style="145" customWidth="1"/>
    <col min="9475" max="9475" width="11.140625" style="145" customWidth="1"/>
    <col min="9476" max="9476" width="8.7109375" style="145" customWidth="1"/>
    <col min="9477" max="9477" width="8" style="145" customWidth="1"/>
    <col min="9478" max="9478" width="10.28515625" style="145" customWidth="1"/>
    <col min="9479" max="9479" width="7.140625" style="145" customWidth="1"/>
    <col min="9480" max="9480" width="6.85546875" style="145" customWidth="1"/>
    <col min="9481" max="9481" width="11.7109375" style="145" customWidth="1"/>
    <col min="9482" max="9482" width="11.5703125" style="145" customWidth="1"/>
    <col min="9483" max="9483" width="9.140625" style="145"/>
    <col min="9484" max="9484" width="10.5703125" style="145" bestFit="1" customWidth="1"/>
    <col min="9485" max="9485" width="9.140625" style="145"/>
    <col min="9486" max="9486" width="12.140625" style="145" customWidth="1"/>
    <col min="9487" max="9728" width="9.140625" style="145"/>
    <col min="9729" max="9729" width="4" style="145" customWidth="1"/>
    <col min="9730" max="9730" width="10.5703125" style="145" customWidth="1"/>
    <col min="9731" max="9731" width="11.140625" style="145" customWidth="1"/>
    <col min="9732" max="9732" width="8.7109375" style="145" customWidth="1"/>
    <col min="9733" max="9733" width="8" style="145" customWidth="1"/>
    <col min="9734" max="9734" width="10.28515625" style="145" customWidth="1"/>
    <col min="9735" max="9735" width="7.140625" style="145" customWidth="1"/>
    <col min="9736" max="9736" width="6.85546875" style="145" customWidth="1"/>
    <col min="9737" max="9737" width="11.7109375" style="145" customWidth="1"/>
    <col min="9738" max="9738" width="11.5703125" style="145" customWidth="1"/>
    <col min="9739" max="9739" width="9.140625" style="145"/>
    <col min="9740" max="9740" width="10.5703125" style="145" bestFit="1" customWidth="1"/>
    <col min="9741" max="9741" width="9.140625" style="145"/>
    <col min="9742" max="9742" width="12.140625" style="145" customWidth="1"/>
    <col min="9743" max="9984" width="9.140625" style="145"/>
    <col min="9985" max="9985" width="4" style="145" customWidth="1"/>
    <col min="9986" max="9986" width="10.5703125" style="145" customWidth="1"/>
    <col min="9987" max="9987" width="11.140625" style="145" customWidth="1"/>
    <col min="9988" max="9988" width="8.7109375" style="145" customWidth="1"/>
    <col min="9989" max="9989" width="8" style="145" customWidth="1"/>
    <col min="9990" max="9990" width="10.28515625" style="145" customWidth="1"/>
    <col min="9991" max="9991" width="7.140625" style="145" customWidth="1"/>
    <col min="9992" max="9992" width="6.85546875" style="145" customWidth="1"/>
    <col min="9993" max="9993" width="11.7109375" style="145" customWidth="1"/>
    <col min="9994" max="9994" width="11.5703125" style="145" customWidth="1"/>
    <col min="9995" max="9995" width="9.140625" style="145"/>
    <col min="9996" max="9996" width="10.5703125" style="145" bestFit="1" customWidth="1"/>
    <col min="9997" max="9997" width="9.140625" style="145"/>
    <col min="9998" max="9998" width="12.140625" style="145" customWidth="1"/>
    <col min="9999" max="10240" width="9.140625" style="145"/>
    <col min="10241" max="10241" width="4" style="145" customWidth="1"/>
    <col min="10242" max="10242" width="10.5703125" style="145" customWidth="1"/>
    <col min="10243" max="10243" width="11.140625" style="145" customWidth="1"/>
    <col min="10244" max="10244" width="8.7109375" style="145" customWidth="1"/>
    <col min="10245" max="10245" width="8" style="145" customWidth="1"/>
    <col min="10246" max="10246" width="10.28515625" style="145" customWidth="1"/>
    <col min="10247" max="10247" width="7.140625" style="145" customWidth="1"/>
    <col min="10248" max="10248" width="6.85546875" style="145" customWidth="1"/>
    <col min="10249" max="10249" width="11.7109375" style="145" customWidth="1"/>
    <col min="10250" max="10250" width="11.5703125" style="145" customWidth="1"/>
    <col min="10251" max="10251" width="9.140625" style="145"/>
    <col min="10252" max="10252" width="10.5703125" style="145" bestFit="1" customWidth="1"/>
    <col min="10253" max="10253" width="9.140625" style="145"/>
    <col min="10254" max="10254" width="12.140625" style="145" customWidth="1"/>
    <col min="10255" max="10496" width="9.140625" style="145"/>
    <col min="10497" max="10497" width="4" style="145" customWidth="1"/>
    <col min="10498" max="10498" width="10.5703125" style="145" customWidth="1"/>
    <col min="10499" max="10499" width="11.140625" style="145" customWidth="1"/>
    <col min="10500" max="10500" width="8.7109375" style="145" customWidth="1"/>
    <col min="10501" max="10501" width="8" style="145" customWidth="1"/>
    <col min="10502" max="10502" width="10.28515625" style="145" customWidth="1"/>
    <col min="10503" max="10503" width="7.140625" style="145" customWidth="1"/>
    <col min="10504" max="10504" width="6.85546875" style="145" customWidth="1"/>
    <col min="10505" max="10505" width="11.7109375" style="145" customWidth="1"/>
    <col min="10506" max="10506" width="11.5703125" style="145" customWidth="1"/>
    <col min="10507" max="10507" width="9.140625" style="145"/>
    <col min="10508" max="10508" width="10.5703125" style="145" bestFit="1" customWidth="1"/>
    <col min="10509" max="10509" width="9.140625" style="145"/>
    <col min="10510" max="10510" width="12.140625" style="145" customWidth="1"/>
    <col min="10511" max="10752" width="9.140625" style="145"/>
    <col min="10753" max="10753" width="4" style="145" customWidth="1"/>
    <col min="10754" max="10754" width="10.5703125" style="145" customWidth="1"/>
    <col min="10755" max="10755" width="11.140625" style="145" customWidth="1"/>
    <col min="10756" max="10756" width="8.7109375" style="145" customWidth="1"/>
    <col min="10757" max="10757" width="8" style="145" customWidth="1"/>
    <col min="10758" max="10758" width="10.28515625" style="145" customWidth="1"/>
    <col min="10759" max="10759" width="7.140625" style="145" customWidth="1"/>
    <col min="10760" max="10760" width="6.85546875" style="145" customWidth="1"/>
    <col min="10761" max="10761" width="11.7109375" style="145" customWidth="1"/>
    <col min="10762" max="10762" width="11.5703125" style="145" customWidth="1"/>
    <col min="10763" max="10763" width="9.140625" style="145"/>
    <col min="10764" max="10764" width="10.5703125" style="145" bestFit="1" customWidth="1"/>
    <col min="10765" max="10765" width="9.140625" style="145"/>
    <col min="10766" max="10766" width="12.140625" style="145" customWidth="1"/>
    <col min="10767" max="11008" width="9.140625" style="145"/>
    <col min="11009" max="11009" width="4" style="145" customWidth="1"/>
    <col min="11010" max="11010" width="10.5703125" style="145" customWidth="1"/>
    <col min="11011" max="11011" width="11.140625" style="145" customWidth="1"/>
    <col min="11012" max="11012" width="8.7109375" style="145" customWidth="1"/>
    <col min="11013" max="11013" width="8" style="145" customWidth="1"/>
    <col min="11014" max="11014" width="10.28515625" style="145" customWidth="1"/>
    <col min="11015" max="11015" width="7.140625" style="145" customWidth="1"/>
    <col min="11016" max="11016" width="6.85546875" style="145" customWidth="1"/>
    <col min="11017" max="11017" width="11.7109375" style="145" customWidth="1"/>
    <col min="11018" max="11018" width="11.5703125" style="145" customWidth="1"/>
    <col min="11019" max="11019" width="9.140625" style="145"/>
    <col min="11020" max="11020" width="10.5703125" style="145" bestFit="1" customWidth="1"/>
    <col min="11021" max="11021" width="9.140625" style="145"/>
    <col min="11022" max="11022" width="12.140625" style="145" customWidth="1"/>
    <col min="11023" max="11264" width="9.140625" style="145"/>
    <col min="11265" max="11265" width="4" style="145" customWidth="1"/>
    <col min="11266" max="11266" width="10.5703125" style="145" customWidth="1"/>
    <col min="11267" max="11267" width="11.140625" style="145" customWidth="1"/>
    <col min="11268" max="11268" width="8.7109375" style="145" customWidth="1"/>
    <col min="11269" max="11269" width="8" style="145" customWidth="1"/>
    <col min="11270" max="11270" width="10.28515625" style="145" customWidth="1"/>
    <col min="11271" max="11271" width="7.140625" style="145" customWidth="1"/>
    <col min="11272" max="11272" width="6.85546875" style="145" customWidth="1"/>
    <col min="11273" max="11273" width="11.7109375" style="145" customWidth="1"/>
    <col min="11274" max="11274" width="11.5703125" style="145" customWidth="1"/>
    <col min="11275" max="11275" width="9.140625" style="145"/>
    <col min="11276" max="11276" width="10.5703125" style="145" bestFit="1" customWidth="1"/>
    <col min="11277" max="11277" width="9.140625" style="145"/>
    <col min="11278" max="11278" width="12.140625" style="145" customWidth="1"/>
    <col min="11279" max="11520" width="9.140625" style="145"/>
    <col min="11521" max="11521" width="4" style="145" customWidth="1"/>
    <col min="11522" max="11522" width="10.5703125" style="145" customWidth="1"/>
    <col min="11523" max="11523" width="11.140625" style="145" customWidth="1"/>
    <col min="11524" max="11524" width="8.7109375" style="145" customWidth="1"/>
    <col min="11525" max="11525" width="8" style="145" customWidth="1"/>
    <col min="11526" max="11526" width="10.28515625" style="145" customWidth="1"/>
    <col min="11527" max="11527" width="7.140625" style="145" customWidth="1"/>
    <col min="11528" max="11528" width="6.85546875" style="145" customWidth="1"/>
    <col min="11529" max="11529" width="11.7109375" style="145" customWidth="1"/>
    <col min="11530" max="11530" width="11.5703125" style="145" customWidth="1"/>
    <col min="11531" max="11531" width="9.140625" style="145"/>
    <col min="11532" max="11532" width="10.5703125" style="145" bestFit="1" customWidth="1"/>
    <col min="11533" max="11533" width="9.140625" style="145"/>
    <col min="11534" max="11534" width="12.140625" style="145" customWidth="1"/>
    <col min="11535" max="11776" width="9.140625" style="145"/>
    <col min="11777" max="11777" width="4" style="145" customWidth="1"/>
    <col min="11778" max="11778" width="10.5703125" style="145" customWidth="1"/>
    <col min="11779" max="11779" width="11.140625" style="145" customWidth="1"/>
    <col min="11780" max="11780" width="8.7109375" style="145" customWidth="1"/>
    <col min="11781" max="11781" width="8" style="145" customWidth="1"/>
    <col min="11782" max="11782" width="10.28515625" style="145" customWidth="1"/>
    <col min="11783" max="11783" width="7.140625" style="145" customWidth="1"/>
    <col min="11784" max="11784" width="6.85546875" style="145" customWidth="1"/>
    <col min="11785" max="11785" width="11.7109375" style="145" customWidth="1"/>
    <col min="11786" max="11786" width="11.5703125" style="145" customWidth="1"/>
    <col min="11787" max="11787" width="9.140625" style="145"/>
    <col min="11788" max="11788" width="10.5703125" style="145" bestFit="1" customWidth="1"/>
    <col min="11789" max="11789" width="9.140625" style="145"/>
    <col min="11790" max="11790" width="12.140625" style="145" customWidth="1"/>
    <col min="11791" max="12032" width="9.140625" style="145"/>
    <col min="12033" max="12033" width="4" style="145" customWidth="1"/>
    <col min="12034" max="12034" width="10.5703125" style="145" customWidth="1"/>
    <col min="12035" max="12035" width="11.140625" style="145" customWidth="1"/>
    <col min="12036" max="12036" width="8.7109375" style="145" customWidth="1"/>
    <col min="12037" max="12037" width="8" style="145" customWidth="1"/>
    <col min="12038" max="12038" width="10.28515625" style="145" customWidth="1"/>
    <col min="12039" max="12039" width="7.140625" style="145" customWidth="1"/>
    <col min="12040" max="12040" width="6.85546875" style="145" customWidth="1"/>
    <col min="12041" max="12041" width="11.7109375" style="145" customWidth="1"/>
    <col min="12042" max="12042" width="11.5703125" style="145" customWidth="1"/>
    <col min="12043" max="12043" width="9.140625" style="145"/>
    <col min="12044" max="12044" width="10.5703125" style="145" bestFit="1" customWidth="1"/>
    <col min="12045" max="12045" width="9.140625" style="145"/>
    <col min="12046" max="12046" width="12.140625" style="145" customWidth="1"/>
    <col min="12047" max="12288" width="9.140625" style="145"/>
    <col min="12289" max="12289" width="4" style="145" customWidth="1"/>
    <col min="12290" max="12290" width="10.5703125" style="145" customWidth="1"/>
    <col min="12291" max="12291" width="11.140625" style="145" customWidth="1"/>
    <col min="12292" max="12292" width="8.7109375" style="145" customWidth="1"/>
    <col min="12293" max="12293" width="8" style="145" customWidth="1"/>
    <col min="12294" max="12294" width="10.28515625" style="145" customWidth="1"/>
    <col min="12295" max="12295" width="7.140625" style="145" customWidth="1"/>
    <col min="12296" max="12296" width="6.85546875" style="145" customWidth="1"/>
    <col min="12297" max="12297" width="11.7109375" style="145" customWidth="1"/>
    <col min="12298" max="12298" width="11.5703125" style="145" customWidth="1"/>
    <col min="12299" max="12299" width="9.140625" style="145"/>
    <col min="12300" max="12300" width="10.5703125" style="145" bestFit="1" customWidth="1"/>
    <col min="12301" max="12301" width="9.140625" style="145"/>
    <col min="12302" max="12302" width="12.140625" style="145" customWidth="1"/>
    <col min="12303" max="12544" width="9.140625" style="145"/>
    <col min="12545" max="12545" width="4" style="145" customWidth="1"/>
    <col min="12546" max="12546" width="10.5703125" style="145" customWidth="1"/>
    <col min="12547" max="12547" width="11.140625" style="145" customWidth="1"/>
    <col min="12548" max="12548" width="8.7109375" style="145" customWidth="1"/>
    <col min="12549" max="12549" width="8" style="145" customWidth="1"/>
    <col min="12550" max="12550" width="10.28515625" style="145" customWidth="1"/>
    <col min="12551" max="12551" width="7.140625" style="145" customWidth="1"/>
    <col min="12552" max="12552" width="6.85546875" style="145" customWidth="1"/>
    <col min="12553" max="12553" width="11.7109375" style="145" customWidth="1"/>
    <col min="12554" max="12554" width="11.5703125" style="145" customWidth="1"/>
    <col min="12555" max="12555" width="9.140625" style="145"/>
    <col min="12556" max="12556" width="10.5703125" style="145" bestFit="1" customWidth="1"/>
    <col min="12557" max="12557" width="9.140625" style="145"/>
    <col min="12558" max="12558" width="12.140625" style="145" customWidth="1"/>
    <col min="12559" max="12800" width="9.140625" style="145"/>
    <col min="12801" max="12801" width="4" style="145" customWidth="1"/>
    <col min="12802" max="12802" width="10.5703125" style="145" customWidth="1"/>
    <col min="12803" max="12803" width="11.140625" style="145" customWidth="1"/>
    <col min="12804" max="12804" width="8.7109375" style="145" customWidth="1"/>
    <col min="12805" max="12805" width="8" style="145" customWidth="1"/>
    <col min="12806" max="12806" width="10.28515625" style="145" customWidth="1"/>
    <col min="12807" max="12807" width="7.140625" style="145" customWidth="1"/>
    <col min="12808" max="12808" width="6.85546875" style="145" customWidth="1"/>
    <col min="12809" max="12809" width="11.7109375" style="145" customWidth="1"/>
    <col min="12810" max="12810" width="11.5703125" style="145" customWidth="1"/>
    <col min="12811" max="12811" width="9.140625" style="145"/>
    <col min="12812" max="12812" width="10.5703125" style="145" bestFit="1" customWidth="1"/>
    <col min="12813" max="12813" width="9.140625" style="145"/>
    <col min="12814" max="12814" width="12.140625" style="145" customWidth="1"/>
    <col min="12815" max="13056" width="9.140625" style="145"/>
    <col min="13057" max="13057" width="4" style="145" customWidth="1"/>
    <col min="13058" max="13058" width="10.5703125" style="145" customWidth="1"/>
    <col min="13059" max="13059" width="11.140625" style="145" customWidth="1"/>
    <col min="13060" max="13060" width="8.7109375" style="145" customWidth="1"/>
    <col min="13061" max="13061" width="8" style="145" customWidth="1"/>
    <col min="13062" max="13062" width="10.28515625" style="145" customWidth="1"/>
    <col min="13063" max="13063" width="7.140625" style="145" customWidth="1"/>
    <col min="13064" max="13064" width="6.85546875" style="145" customWidth="1"/>
    <col min="13065" max="13065" width="11.7109375" style="145" customWidth="1"/>
    <col min="13066" max="13066" width="11.5703125" style="145" customWidth="1"/>
    <col min="13067" max="13067" width="9.140625" style="145"/>
    <col min="13068" max="13068" width="10.5703125" style="145" bestFit="1" customWidth="1"/>
    <col min="13069" max="13069" width="9.140625" style="145"/>
    <col min="13070" max="13070" width="12.140625" style="145" customWidth="1"/>
    <col min="13071" max="13312" width="9.140625" style="145"/>
    <col min="13313" max="13313" width="4" style="145" customWidth="1"/>
    <col min="13314" max="13314" width="10.5703125" style="145" customWidth="1"/>
    <col min="13315" max="13315" width="11.140625" style="145" customWidth="1"/>
    <col min="13316" max="13316" width="8.7109375" style="145" customWidth="1"/>
    <col min="13317" max="13317" width="8" style="145" customWidth="1"/>
    <col min="13318" max="13318" width="10.28515625" style="145" customWidth="1"/>
    <col min="13319" max="13319" width="7.140625" style="145" customWidth="1"/>
    <col min="13320" max="13320" width="6.85546875" style="145" customWidth="1"/>
    <col min="13321" max="13321" width="11.7109375" style="145" customWidth="1"/>
    <col min="13322" max="13322" width="11.5703125" style="145" customWidth="1"/>
    <col min="13323" max="13323" width="9.140625" style="145"/>
    <col min="13324" max="13324" width="10.5703125" style="145" bestFit="1" customWidth="1"/>
    <col min="13325" max="13325" width="9.140625" style="145"/>
    <col min="13326" max="13326" width="12.140625" style="145" customWidth="1"/>
    <col min="13327" max="13568" width="9.140625" style="145"/>
    <col min="13569" max="13569" width="4" style="145" customWidth="1"/>
    <col min="13570" max="13570" width="10.5703125" style="145" customWidth="1"/>
    <col min="13571" max="13571" width="11.140625" style="145" customWidth="1"/>
    <col min="13572" max="13572" width="8.7109375" style="145" customWidth="1"/>
    <col min="13573" max="13573" width="8" style="145" customWidth="1"/>
    <col min="13574" max="13574" width="10.28515625" style="145" customWidth="1"/>
    <col min="13575" max="13575" width="7.140625" style="145" customWidth="1"/>
    <col min="13576" max="13576" width="6.85546875" style="145" customWidth="1"/>
    <col min="13577" max="13577" width="11.7109375" style="145" customWidth="1"/>
    <col min="13578" max="13578" width="11.5703125" style="145" customWidth="1"/>
    <col min="13579" max="13579" width="9.140625" style="145"/>
    <col min="13580" max="13580" width="10.5703125" style="145" bestFit="1" customWidth="1"/>
    <col min="13581" max="13581" width="9.140625" style="145"/>
    <col min="13582" max="13582" width="12.140625" style="145" customWidth="1"/>
    <col min="13583" max="13824" width="9.140625" style="145"/>
    <col min="13825" max="13825" width="4" style="145" customWidth="1"/>
    <col min="13826" max="13826" width="10.5703125" style="145" customWidth="1"/>
    <col min="13827" max="13827" width="11.140625" style="145" customWidth="1"/>
    <col min="13828" max="13828" width="8.7109375" style="145" customWidth="1"/>
    <col min="13829" max="13829" width="8" style="145" customWidth="1"/>
    <col min="13830" max="13830" width="10.28515625" style="145" customWidth="1"/>
    <col min="13831" max="13831" width="7.140625" style="145" customWidth="1"/>
    <col min="13832" max="13832" width="6.85546875" style="145" customWidth="1"/>
    <col min="13833" max="13833" width="11.7109375" style="145" customWidth="1"/>
    <col min="13834" max="13834" width="11.5703125" style="145" customWidth="1"/>
    <col min="13835" max="13835" width="9.140625" style="145"/>
    <col min="13836" max="13836" width="10.5703125" style="145" bestFit="1" customWidth="1"/>
    <col min="13837" max="13837" width="9.140625" style="145"/>
    <col min="13838" max="13838" width="12.140625" style="145" customWidth="1"/>
    <col min="13839" max="14080" width="9.140625" style="145"/>
    <col min="14081" max="14081" width="4" style="145" customWidth="1"/>
    <col min="14082" max="14082" width="10.5703125" style="145" customWidth="1"/>
    <col min="14083" max="14083" width="11.140625" style="145" customWidth="1"/>
    <col min="14084" max="14084" width="8.7109375" style="145" customWidth="1"/>
    <col min="14085" max="14085" width="8" style="145" customWidth="1"/>
    <col min="14086" max="14086" width="10.28515625" style="145" customWidth="1"/>
    <col min="14087" max="14087" width="7.140625" style="145" customWidth="1"/>
    <col min="14088" max="14088" width="6.85546875" style="145" customWidth="1"/>
    <col min="14089" max="14089" width="11.7109375" style="145" customWidth="1"/>
    <col min="14090" max="14090" width="11.5703125" style="145" customWidth="1"/>
    <col min="14091" max="14091" width="9.140625" style="145"/>
    <col min="14092" max="14092" width="10.5703125" style="145" bestFit="1" customWidth="1"/>
    <col min="14093" max="14093" width="9.140625" style="145"/>
    <col min="14094" max="14094" width="12.140625" style="145" customWidth="1"/>
    <col min="14095" max="14336" width="9.140625" style="145"/>
    <col min="14337" max="14337" width="4" style="145" customWidth="1"/>
    <col min="14338" max="14338" width="10.5703125" style="145" customWidth="1"/>
    <col min="14339" max="14339" width="11.140625" style="145" customWidth="1"/>
    <col min="14340" max="14340" width="8.7109375" style="145" customWidth="1"/>
    <col min="14341" max="14341" width="8" style="145" customWidth="1"/>
    <col min="14342" max="14342" width="10.28515625" style="145" customWidth="1"/>
    <col min="14343" max="14343" width="7.140625" style="145" customWidth="1"/>
    <col min="14344" max="14344" width="6.85546875" style="145" customWidth="1"/>
    <col min="14345" max="14345" width="11.7109375" style="145" customWidth="1"/>
    <col min="14346" max="14346" width="11.5703125" style="145" customWidth="1"/>
    <col min="14347" max="14347" width="9.140625" style="145"/>
    <col min="14348" max="14348" width="10.5703125" style="145" bestFit="1" customWidth="1"/>
    <col min="14349" max="14349" width="9.140625" style="145"/>
    <col min="14350" max="14350" width="12.140625" style="145" customWidth="1"/>
    <col min="14351" max="14592" width="9.140625" style="145"/>
    <col min="14593" max="14593" width="4" style="145" customWidth="1"/>
    <col min="14594" max="14594" width="10.5703125" style="145" customWidth="1"/>
    <col min="14595" max="14595" width="11.140625" style="145" customWidth="1"/>
    <col min="14596" max="14596" width="8.7109375" style="145" customWidth="1"/>
    <col min="14597" max="14597" width="8" style="145" customWidth="1"/>
    <col min="14598" max="14598" width="10.28515625" style="145" customWidth="1"/>
    <col min="14599" max="14599" width="7.140625" style="145" customWidth="1"/>
    <col min="14600" max="14600" width="6.85546875" style="145" customWidth="1"/>
    <col min="14601" max="14601" width="11.7109375" style="145" customWidth="1"/>
    <col min="14602" max="14602" width="11.5703125" style="145" customWidth="1"/>
    <col min="14603" max="14603" width="9.140625" style="145"/>
    <col min="14604" max="14604" width="10.5703125" style="145" bestFit="1" customWidth="1"/>
    <col min="14605" max="14605" width="9.140625" style="145"/>
    <col min="14606" max="14606" width="12.140625" style="145" customWidth="1"/>
    <col min="14607" max="14848" width="9.140625" style="145"/>
    <col min="14849" max="14849" width="4" style="145" customWidth="1"/>
    <col min="14850" max="14850" width="10.5703125" style="145" customWidth="1"/>
    <col min="14851" max="14851" width="11.140625" style="145" customWidth="1"/>
    <col min="14852" max="14852" width="8.7109375" style="145" customWidth="1"/>
    <col min="14853" max="14853" width="8" style="145" customWidth="1"/>
    <col min="14854" max="14854" width="10.28515625" style="145" customWidth="1"/>
    <col min="14855" max="14855" width="7.140625" style="145" customWidth="1"/>
    <col min="14856" max="14856" width="6.85546875" style="145" customWidth="1"/>
    <col min="14857" max="14857" width="11.7109375" style="145" customWidth="1"/>
    <col min="14858" max="14858" width="11.5703125" style="145" customWidth="1"/>
    <col min="14859" max="14859" width="9.140625" style="145"/>
    <col min="14860" max="14860" width="10.5703125" style="145" bestFit="1" customWidth="1"/>
    <col min="14861" max="14861" width="9.140625" style="145"/>
    <col min="14862" max="14862" width="12.140625" style="145" customWidth="1"/>
    <col min="14863" max="15104" width="9.140625" style="145"/>
    <col min="15105" max="15105" width="4" style="145" customWidth="1"/>
    <col min="15106" max="15106" width="10.5703125" style="145" customWidth="1"/>
    <col min="15107" max="15107" width="11.140625" style="145" customWidth="1"/>
    <col min="15108" max="15108" width="8.7109375" style="145" customWidth="1"/>
    <col min="15109" max="15109" width="8" style="145" customWidth="1"/>
    <col min="15110" max="15110" width="10.28515625" style="145" customWidth="1"/>
    <col min="15111" max="15111" width="7.140625" style="145" customWidth="1"/>
    <col min="15112" max="15112" width="6.85546875" style="145" customWidth="1"/>
    <col min="15113" max="15113" width="11.7109375" style="145" customWidth="1"/>
    <col min="15114" max="15114" width="11.5703125" style="145" customWidth="1"/>
    <col min="15115" max="15115" width="9.140625" style="145"/>
    <col min="15116" max="15116" width="10.5703125" style="145" bestFit="1" customWidth="1"/>
    <col min="15117" max="15117" width="9.140625" style="145"/>
    <col min="15118" max="15118" width="12.140625" style="145" customWidth="1"/>
    <col min="15119" max="15360" width="9.140625" style="145"/>
    <col min="15361" max="15361" width="4" style="145" customWidth="1"/>
    <col min="15362" max="15362" width="10.5703125" style="145" customWidth="1"/>
    <col min="15363" max="15363" width="11.140625" style="145" customWidth="1"/>
    <col min="15364" max="15364" width="8.7109375" style="145" customWidth="1"/>
    <col min="15365" max="15365" width="8" style="145" customWidth="1"/>
    <col min="15366" max="15366" width="10.28515625" style="145" customWidth="1"/>
    <col min="15367" max="15367" width="7.140625" style="145" customWidth="1"/>
    <col min="15368" max="15368" width="6.85546875" style="145" customWidth="1"/>
    <col min="15369" max="15369" width="11.7109375" style="145" customWidth="1"/>
    <col min="15370" max="15370" width="11.5703125" style="145" customWidth="1"/>
    <col min="15371" max="15371" width="9.140625" style="145"/>
    <col min="15372" max="15372" width="10.5703125" style="145" bestFit="1" customWidth="1"/>
    <col min="15373" max="15373" width="9.140625" style="145"/>
    <col min="15374" max="15374" width="12.140625" style="145" customWidth="1"/>
    <col min="15375" max="15616" width="9.140625" style="145"/>
    <col min="15617" max="15617" width="4" style="145" customWidth="1"/>
    <col min="15618" max="15618" width="10.5703125" style="145" customWidth="1"/>
    <col min="15619" max="15619" width="11.140625" style="145" customWidth="1"/>
    <col min="15620" max="15620" width="8.7109375" style="145" customWidth="1"/>
    <col min="15621" max="15621" width="8" style="145" customWidth="1"/>
    <col min="15622" max="15622" width="10.28515625" style="145" customWidth="1"/>
    <col min="15623" max="15623" width="7.140625" style="145" customWidth="1"/>
    <col min="15624" max="15624" width="6.85546875" style="145" customWidth="1"/>
    <col min="15625" max="15625" width="11.7109375" style="145" customWidth="1"/>
    <col min="15626" max="15626" width="11.5703125" style="145" customWidth="1"/>
    <col min="15627" max="15627" width="9.140625" style="145"/>
    <col min="15628" max="15628" width="10.5703125" style="145" bestFit="1" customWidth="1"/>
    <col min="15629" max="15629" width="9.140625" style="145"/>
    <col min="15630" max="15630" width="12.140625" style="145" customWidth="1"/>
    <col min="15631" max="15872" width="9.140625" style="145"/>
    <col min="15873" max="15873" width="4" style="145" customWidth="1"/>
    <col min="15874" max="15874" width="10.5703125" style="145" customWidth="1"/>
    <col min="15875" max="15875" width="11.140625" style="145" customWidth="1"/>
    <col min="15876" max="15876" width="8.7109375" style="145" customWidth="1"/>
    <col min="15877" max="15877" width="8" style="145" customWidth="1"/>
    <col min="15878" max="15878" width="10.28515625" style="145" customWidth="1"/>
    <col min="15879" max="15879" width="7.140625" style="145" customWidth="1"/>
    <col min="15880" max="15880" width="6.85546875" style="145" customWidth="1"/>
    <col min="15881" max="15881" width="11.7109375" style="145" customWidth="1"/>
    <col min="15882" max="15882" width="11.5703125" style="145" customWidth="1"/>
    <col min="15883" max="15883" width="9.140625" style="145"/>
    <col min="15884" max="15884" width="10.5703125" style="145" bestFit="1" customWidth="1"/>
    <col min="15885" max="15885" width="9.140625" style="145"/>
    <col min="15886" max="15886" width="12.140625" style="145" customWidth="1"/>
    <col min="15887" max="16128" width="9.140625" style="145"/>
    <col min="16129" max="16129" width="4" style="145" customWidth="1"/>
    <col min="16130" max="16130" width="10.5703125" style="145" customWidth="1"/>
    <col min="16131" max="16131" width="11.140625" style="145" customWidth="1"/>
    <col min="16132" max="16132" width="8.7109375" style="145" customWidth="1"/>
    <col min="16133" max="16133" width="8" style="145" customWidth="1"/>
    <col min="16134" max="16134" width="10.28515625" style="145" customWidth="1"/>
    <col min="16135" max="16135" width="7.140625" style="145" customWidth="1"/>
    <col min="16136" max="16136" width="6.85546875" style="145" customWidth="1"/>
    <col min="16137" max="16137" width="11.7109375" style="145" customWidth="1"/>
    <col min="16138" max="16138" width="11.5703125" style="145" customWidth="1"/>
    <col min="16139" max="16139" width="9.140625" style="145"/>
    <col min="16140" max="16140" width="10.5703125" style="145" bestFit="1" customWidth="1"/>
    <col min="16141" max="16141" width="9.140625" style="145"/>
    <col min="16142" max="16142" width="12.140625" style="145" customWidth="1"/>
    <col min="16143" max="16384" width="9.140625" style="145"/>
  </cols>
  <sheetData>
    <row r="1" spans="1:15" x14ac:dyDescent="0.25">
      <c r="A1" s="1201" t="s">
        <v>548</v>
      </c>
      <c r="B1" s="1201"/>
      <c r="C1" s="1201"/>
      <c r="D1" s="1201"/>
      <c r="E1" s="1201"/>
      <c r="F1" s="1201"/>
      <c r="G1" s="1201"/>
      <c r="H1" s="1201"/>
      <c r="I1" s="1201"/>
      <c r="J1" s="155"/>
    </row>
    <row r="3" spans="1:15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1143"/>
      <c r="J3" s="201"/>
    </row>
    <row r="4" spans="1:15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1170"/>
      <c r="J4" s="202"/>
    </row>
    <row r="6" spans="1:15" x14ac:dyDescent="0.25">
      <c r="A6" s="781" t="s">
        <v>699</v>
      </c>
      <c r="B6" s="781"/>
      <c r="C6" s="781"/>
      <c r="D6" s="781"/>
      <c r="E6" s="781"/>
      <c r="F6" s="781"/>
      <c r="G6" s="781"/>
      <c r="H6" s="781"/>
      <c r="J6" s="177"/>
    </row>
    <row r="7" spans="1:15" ht="24" customHeight="1" x14ac:dyDescent="0.25">
      <c r="A7" s="195" t="s">
        <v>258</v>
      </c>
      <c r="B7" s="1160" t="s">
        <v>491</v>
      </c>
      <c r="C7" s="1253"/>
      <c r="D7" s="1161"/>
      <c r="E7" s="161" t="s">
        <v>343</v>
      </c>
      <c r="F7" s="162" t="s">
        <v>389</v>
      </c>
      <c r="G7" s="198" t="s">
        <v>467</v>
      </c>
      <c r="H7" s="195" t="s">
        <v>402</v>
      </c>
    </row>
    <row r="8" spans="1:15" x14ac:dyDescent="0.25">
      <c r="A8" s="194">
        <v>1</v>
      </c>
      <c r="B8" s="1165">
        <v>2</v>
      </c>
      <c r="C8" s="1254"/>
      <c r="D8" s="1166"/>
      <c r="E8" s="194">
        <v>3</v>
      </c>
      <c r="F8" s="194">
        <v>4</v>
      </c>
      <c r="G8" s="258">
        <v>5</v>
      </c>
      <c r="H8" s="196">
        <v>6</v>
      </c>
    </row>
    <row r="9" spans="1:15" ht="27.75" customHeight="1" x14ac:dyDescent="0.25">
      <c r="A9" s="196">
        <v>1</v>
      </c>
      <c r="B9" s="1234" t="s">
        <v>490</v>
      </c>
      <c r="C9" s="1235"/>
      <c r="D9" s="1236"/>
      <c r="E9" s="195">
        <v>200</v>
      </c>
      <c r="F9" s="193"/>
      <c r="G9" s="285">
        <v>10000</v>
      </c>
      <c r="H9" s="222">
        <f>ROUND(G9/1000,1)</f>
        <v>10</v>
      </c>
      <c r="J9" s="179"/>
      <c r="L9" s="180"/>
    </row>
    <row r="10" spans="1:15" x14ac:dyDescent="0.25">
      <c r="A10" s="1157" t="s">
        <v>404</v>
      </c>
      <c r="B10" s="1158"/>
      <c r="C10" s="1158"/>
      <c r="D10" s="1158"/>
      <c r="E10" s="1158"/>
      <c r="F10" s="1171"/>
      <c r="G10" s="819">
        <f>G9</f>
        <v>10000</v>
      </c>
      <c r="H10" s="275">
        <f>SUM(H9:H9)</f>
        <v>10</v>
      </c>
      <c r="L10" s="181"/>
    </row>
    <row r="11" spans="1:15" x14ac:dyDescent="0.25">
      <c r="L11" s="181"/>
    </row>
    <row r="12" spans="1:15" x14ac:dyDescent="0.25">
      <c r="L12" s="146"/>
      <c r="M12" s="146"/>
      <c r="N12" s="146"/>
      <c r="O12" s="146"/>
    </row>
    <row r="13" spans="1:15" x14ac:dyDescent="0.25">
      <c r="A13" s="1150" t="s">
        <v>397</v>
      </c>
      <c r="B13" s="1150"/>
      <c r="C13" s="168"/>
      <c r="D13" s="1151"/>
      <c r="E13" s="1151"/>
      <c r="F13" s="168"/>
      <c r="G13" s="1151" t="str">
        <f>рВДЛ!G32</f>
        <v>М.В. Златова</v>
      </c>
      <c r="H13" s="1151"/>
      <c r="L13" s="146"/>
      <c r="M13" s="146"/>
      <c r="N13" s="185"/>
      <c r="O13" s="183"/>
    </row>
    <row r="14" spans="1:15" x14ac:dyDescent="0.25">
      <c r="A14" s="1148" t="s">
        <v>329</v>
      </c>
      <c r="B14" s="1148"/>
      <c r="C14" s="169"/>
      <c r="D14" s="1148" t="s">
        <v>330</v>
      </c>
      <c r="E14" s="1148"/>
      <c r="F14" s="169"/>
      <c r="G14" s="1149" t="s">
        <v>331</v>
      </c>
      <c r="H14" s="1149"/>
      <c r="L14" s="146"/>
      <c r="M14" s="146"/>
      <c r="N14" s="146"/>
      <c r="O14" s="146"/>
    </row>
    <row r="15" spans="1:15" x14ac:dyDescent="0.25">
      <c r="A15" s="1150" t="str">
        <f>рВДЛ!A34</f>
        <v>Исполнитель: финансист</v>
      </c>
      <c r="B15" s="1150"/>
      <c r="C15" s="168"/>
      <c r="D15" s="1151"/>
      <c r="E15" s="1151"/>
      <c r="F15" s="168"/>
      <c r="G15" s="1151" t="str">
        <f>рВДЛ!G34</f>
        <v>Е.Н. Рыбалка</v>
      </c>
      <c r="H15" s="1151"/>
    </row>
    <row r="16" spans="1:15" x14ac:dyDescent="0.25">
      <c r="A16" s="1148" t="s">
        <v>329</v>
      </c>
      <c r="B16" s="1148"/>
      <c r="C16" s="169"/>
      <c r="D16" s="1148" t="s">
        <v>330</v>
      </c>
      <c r="E16" s="1148"/>
      <c r="F16" s="169"/>
      <c r="G16" s="1149" t="s">
        <v>331</v>
      </c>
      <c r="H16" s="1149"/>
    </row>
  </sheetData>
  <mergeCells count="19">
    <mergeCell ref="G16:H16"/>
    <mergeCell ref="A14:B14"/>
    <mergeCell ref="D14:E14"/>
    <mergeCell ref="G14:H14"/>
    <mergeCell ref="A15:B15"/>
    <mergeCell ref="D15:E15"/>
    <mergeCell ref="G15:H15"/>
    <mergeCell ref="A16:B16"/>
    <mergeCell ref="D16:E16"/>
    <mergeCell ref="G13:H13"/>
    <mergeCell ref="B9:D9"/>
    <mergeCell ref="A1:I1"/>
    <mergeCell ref="A3:I3"/>
    <mergeCell ref="A4:I4"/>
    <mergeCell ref="B7:D7"/>
    <mergeCell ref="B8:D8"/>
    <mergeCell ref="A10:F10"/>
    <mergeCell ref="A13:B13"/>
    <mergeCell ref="D13:E13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71"/>
  <sheetViews>
    <sheetView showZeros="0" topLeftCell="A19" workbookViewId="0">
      <selection activeCell="H31" sqref="H31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6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153</v>
      </c>
      <c r="B12" s="1201"/>
      <c r="C12" s="1201"/>
      <c r="D12" s="1201"/>
      <c r="E12" s="1201"/>
      <c r="F12" s="1201"/>
      <c r="G12" s="1201"/>
      <c r="H12" s="1201"/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68"/>
    </row>
    <row r="16" spans="1:9" x14ac:dyDescent="0.25">
      <c r="A16" s="564" t="s">
        <v>640</v>
      </c>
      <c r="B16" s="581" t="s">
        <v>106</v>
      </c>
      <c r="C16" s="581" t="s">
        <v>154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1384.1999999999998</v>
      </c>
    </row>
    <row r="17" spans="1:9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9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9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9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9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9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9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9" x14ac:dyDescent="0.25">
      <c r="A24" s="565" t="s">
        <v>645</v>
      </c>
      <c r="B24" s="846"/>
      <c r="C24" s="846"/>
      <c r="D24" s="846"/>
      <c r="E24" s="846" t="s">
        <v>126</v>
      </c>
      <c r="F24" s="558">
        <v>220</v>
      </c>
      <c r="G24" s="558"/>
      <c r="H24" s="847">
        <f>H25+H26+H28+H32+H36</f>
        <v>1064.1999999999998</v>
      </c>
    </row>
    <row r="25" spans="1:9" x14ac:dyDescent="0.25">
      <c r="A25" s="566" t="s">
        <v>351</v>
      </c>
      <c r="B25" s="848" t="s">
        <v>106</v>
      </c>
      <c r="C25" s="848" t="s">
        <v>154</v>
      </c>
      <c r="D25" s="848" t="s">
        <v>159</v>
      </c>
      <c r="E25" s="848" t="s">
        <v>416</v>
      </c>
      <c r="F25" s="559">
        <v>221</v>
      </c>
      <c r="G25" s="559"/>
      <c r="H25" s="850">
        <f>рДругие!I42</f>
        <v>34.6</v>
      </c>
      <c r="I25" s="638">
        <v>33984</v>
      </c>
    </row>
    <row r="26" spans="1:9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9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9" x14ac:dyDescent="0.25">
      <c r="A28" s="566" t="s">
        <v>353</v>
      </c>
      <c r="B28" s="848" t="s">
        <v>106</v>
      </c>
      <c r="C28" s="848" t="s">
        <v>154</v>
      </c>
      <c r="D28" s="848" t="s">
        <v>134</v>
      </c>
      <c r="E28" s="848" t="s">
        <v>416</v>
      </c>
      <c r="F28" s="559">
        <v>223</v>
      </c>
      <c r="G28" s="559"/>
      <c r="H28" s="850">
        <f>SUM(H29:H31)</f>
        <v>692.69999999999993</v>
      </c>
    </row>
    <row r="29" spans="1:9" x14ac:dyDescent="0.25">
      <c r="A29" s="567" t="s">
        <v>354</v>
      </c>
      <c r="B29" s="852" t="s">
        <v>106</v>
      </c>
      <c r="C29" s="852" t="s">
        <v>154</v>
      </c>
      <c r="D29" s="852" t="s">
        <v>134</v>
      </c>
      <c r="E29" s="852" t="s">
        <v>416</v>
      </c>
      <c r="F29" s="560">
        <v>223</v>
      </c>
      <c r="G29" s="560">
        <v>721</v>
      </c>
      <c r="H29" s="281">
        <f>рДругие!F26</f>
        <v>690.8</v>
      </c>
      <c r="I29" s="638">
        <v>634300</v>
      </c>
    </row>
    <row r="30" spans="1:9" x14ac:dyDescent="0.25">
      <c r="A30" s="567" t="s">
        <v>355</v>
      </c>
      <c r="B30" s="852" t="s">
        <v>106</v>
      </c>
      <c r="C30" s="852" t="s">
        <v>154</v>
      </c>
      <c r="D30" s="852" t="s">
        <v>134</v>
      </c>
      <c r="E30" s="852" t="s">
        <v>416</v>
      </c>
      <c r="F30" s="560">
        <v>223</v>
      </c>
      <c r="G30" s="560">
        <v>730</v>
      </c>
      <c r="H30" s="281">
        <f>рДругие!F27</f>
        <v>1.8</v>
      </c>
      <c r="I30" s="638">
        <v>1500</v>
      </c>
    </row>
    <row r="31" spans="1:9" x14ac:dyDescent="0.25">
      <c r="A31" s="567" t="s">
        <v>356</v>
      </c>
      <c r="B31" s="852" t="s">
        <v>106</v>
      </c>
      <c r="C31" s="852" t="s">
        <v>154</v>
      </c>
      <c r="D31" s="852" t="s">
        <v>134</v>
      </c>
      <c r="E31" s="852" t="s">
        <v>416</v>
      </c>
      <c r="F31" s="560">
        <v>223</v>
      </c>
      <c r="G31" s="560">
        <v>740</v>
      </c>
      <c r="H31" s="281">
        <f>рДругие!F28</f>
        <v>0.1</v>
      </c>
      <c r="I31" s="638">
        <v>1500</v>
      </c>
    </row>
    <row r="32" spans="1:9" x14ac:dyDescent="0.25">
      <c r="A32" s="566" t="s">
        <v>647</v>
      </c>
      <c r="B32" s="848" t="s">
        <v>106</v>
      </c>
      <c r="C32" s="848" t="s">
        <v>154</v>
      </c>
      <c r="D32" s="848" t="s">
        <v>836</v>
      </c>
      <c r="E32" s="848" t="s">
        <v>416</v>
      </c>
      <c r="F32" s="559">
        <v>225</v>
      </c>
      <c r="G32" s="559"/>
      <c r="H32" s="850">
        <f>SUM(H33:H35)</f>
        <v>281.89999999999998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 t="s">
        <v>106</v>
      </c>
      <c r="C34" s="852" t="s">
        <v>154</v>
      </c>
      <c r="D34" s="852" t="s">
        <v>836</v>
      </c>
      <c r="E34" s="852" t="s">
        <v>416</v>
      </c>
      <c r="F34" s="560">
        <v>225</v>
      </c>
      <c r="G34" s="560" t="s">
        <v>358</v>
      </c>
      <c r="H34" s="281">
        <f>рДругие!I64</f>
        <v>281.89999999999998</v>
      </c>
      <c r="I34" s="638">
        <v>299600</v>
      </c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 t="s">
        <v>106</v>
      </c>
      <c r="C36" s="848" t="s">
        <v>154</v>
      </c>
      <c r="D36" s="848" t="s">
        <v>838</v>
      </c>
      <c r="E36" s="848" t="s">
        <v>416</v>
      </c>
      <c r="F36" s="559" t="s">
        <v>350</v>
      </c>
      <c r="G36" s="559"/>
      <c r="H36" s="850">
        <f>SUM(H37:H43)</f>
        <v>55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69"/>
    </row>
    <row r="38" spans="1:9" x14ac:dyDescent="0.25">
      <c r="A38" s="567" t="s">
        <v>361</v>
      </c>
      <c r="B38" s="852" t="s">
        <v>106</v>
      </c>
      <c r="C38" s="852" t="s">
        <v>154</v>
      </c>
      <c r="D38" s="852" t="s">
        <v>838</v>
      </c>
      <c r="E38" s="852" t="s">
        <v>416</v>
      </c>
      <c r="F38" s="560">
        <v>226</v>
      </c>
      <c r="G38" s="560" t="s">
        <v>362</v>
      </c>
      <c r="H38" s="281">
        <f>рДругие!H74</f>
        <v>55</v>
      </c>
      <c r="I38" s="638">
        <v>60000</v>
      </c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3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9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9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9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9" x14ac:dyDescent="0.25">
      <c r="A52" s="565" t="s">
        <v>369</v>
      </c>
      <c r="B52" s="857"/>
      <c r="C52" s="857"/>
      <c r="D52" s="857"/>
      <c r="E52" s="857" t="s">
        <v>139</v>
      </c>
      <c r="F52" s="558" t="s">
        <v>370</v>
      </c>
      <c r="G52" s="558"/>
      <c r="H52" s="858">
        <f>SUM(H53:H58)</f>
        <v>320</v>
      </c>
    </row>
    <row r="53" spans="1:9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9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9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9" x14ac:dyDescent="0.25">
      <c r="A56" s="568" t="s">
        <v>665</v>
      </c>
      <c r="B56" s="848"/>
      <c r="C56" s="848"/>
      <c r="D56" s="848"/>
      <c r="E56" s="848" t="s">
        <v>504</v>
      </c>
      <c r="F56" s="562">
        <v>295</v>
      </c>
      <c r="G56" s="562"/>
      <c r="H56" s="850"/>
    </row>
    <row r="57" spans="1:9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9" x14ac:dyDescent="0.25">
      <c r="A58" s="568" t="s">
        <v>665</v>
      </c>
      <c r="B58" s="848" t="s">
        <v>106</v>
      </c>
      <c r="C58" s="848" t="s">
        <v>154</v>
      </c>
      <c r="D58" s="848" t="s">
        <v>161</v>
      </c>
      <c r="E58" s="848" t="s">
        <v>504</v>
      </c>
      <c r="F58" s="562">
        <v>297</v>
      </c>
      <c r="G58" s="562"/>
      <c r="H58" s="850">
        <f>рДругие!I56</f>
        <v>320</v>
      </c>
      <c r="I58" s="638">
        <v>320000</v>
      </c>
    </row>
    <row r="59" spans="1:9" x14ac:dyDescent="0.25">
      <c r="A59" s="565" t="s">
        <v>656</v>
      </c>
      <c r="B59" s="857"/>
      <c r="C59" s="857"/>
      <c r="D59" s="857"/>
      <c r="E59" s="857" t="s">
        <v>126</v>
      </c>
      <c r="F59" s="558" t="s">
        <v>205</v>
      </c>
      <c r="G59" s="558"/>
      <c r="H59" s="858">
        <f>H60+H62+H63+H64</f>
        <v>20.399999999999999</v>
      </c>
    </row>
    <row r="60" spans="1:9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9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9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9" ht="24" x14ac:dyDescent="0.25">
      <c r="A63" s="569" t="s">
        <v>658</v>
      </c>
      <c r="B63" s="848" t="s">
        <v>106</v>
      </c>
      <c r="C63" s="848" t="s">
        <v>154</v>
      </c>
      <c r="D63" s="848" t="s">
        <v>159</v>
      </c>
      <c r="E63" s="848" t="s">
        <v>416</v>
      </c>
      <c r="F63" s="563">
        <v>346</v>
      </c>
      <c r="G63" s="563"/>
      <c r="H63" s="850">
        <f>рДругие!I48</f>
        <v>20.399999999999999</v>
      </c>
      <c r="I63" s="638">
        <v>21016</v>
      </c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106</v>
      </c>
      <c r="C65" s="848" t="s">
        <v>154</v>
      </c>
      <c r="D65" s="848" t="s">
        <v>134</v>
      </c>
      <c r="E65" s="848" t="s">
        <v>126</v>
      </c>
      <c r="F65" s="563"/>
      <c r="G65" s="563"/>
      <c r="H65" s="850">
        <f>H28</f>
        <v>692.69999999999993</v>
      </c>
    </row>
    <row r="66" spans="1:9" x14ac:dyDescent="0.25">
      <c r="A66" s="569" t="s">
        <v>487</v>
      </c>
      <c r="B66" s="848" t="s">
        <v>106</v>
      </c>
      <c r="C66" s="848" t="s">
        <v>154</v>
      </c>
      <c r="D66" s="848" t="s">
        <v>159</v>
      </c>
      <c r="E66" s="848" t="s">
        <v>126</v>
      </c>
      <c r="F66" s="563"/>
      <c r="G66" s="563"/>
      <c r="H66" s="850">
        <f>H25+H63</f>
        <v>55</v>
      </c>
    </row>
    <row r="67" spans="1:9" x14ac:dyDescent="0.25">
      <c r="A67" s="569" t="s">
        <v>487</v>
      </c>
      <c r="B67" s="848" t="s">
        <v>106</v>
      </c>
      <c r="C67" s="848" t="s">
        <v>154</v>
      </c>
      <c r="D67" s="848" t="s">
        <v>161</v>
      </c>
      <c r="E67" s="848" t="s">
        <v>139</v>
      </c>
      <c r="F67" s="563"/>
      <c r="G67" s="563"/>
      <c r="H67" s="850">
        <f>H58</f>
        <v>320</v>
      </c>
    </row>
    <row r="68" spans="1:9" x14ac:dyDescent="0.25">
      <c r="A68" s="569" t="s">
        <v>487</v>
      </c>
      <c r="B68" s="848" t="s">
        <v>106</v>
      </c>
      <c r="C68" s="848" t="s">
        <v>154</v>
      </c>
      <c r="D68" s="848" t="s">
        <v>836</v>
      </c>
      <c r="E68" s="848" t="s">
        <v>126</v>
      </c>
      <c r="F68" s="563"/>
      <c r="G68" s="563"/>
      <c r="H68" s="850">
        <f>H32</f>
        <v>281.89999999999998</v>
      </c>
    </row>
    <row r="69" spans="1:9" x14ac:dyDescent="0.25">
      <c r="A69" s="569" t="s">
        <v>487</v>
      </c>
      <c r="B69" s="848" t="s">
        <v>106</v>
      </c>
      <c r="C69" s="848" t="s">
        <v>154</v>
      </c>
      <c r="D69" s="848" t="s">
        <v>838</v>
      </c>
      <c r="E69" s="848" t="s">
        <v>126</v>
      </c>
      <c r="F69" s="563"/>
      <c r="G69" s="563"/>
      <c r="H69" s="850">
        <f>H36</f>
        <v>55</v>
      </c>
    </row>
    <row r="70" spans="1:9" x14ac:dyDescent="0.25">
      <c r="A70" s="571" t="s">
        <v>377</v>
      </c>
      <c r="B70" s="848" t="s">
        <v>106</v>
      </c>
      <c r="C70" s="848" t="s">
        <v>154</v>
      </c>
      <c r="D70" s="848" t="s">
        <v>485</v>
      </c>
      <c r="E70" s="848" t="s">
        <v>345</v>
      </c>
      <c r="F70" s="570"/>
      <c r="G70" s="570"/>
      <c r="H70" s="850">
        <f>H59+H16</f>
        <v>1404.6</v>
      </c>
      <c r="I70" s="638">
        <f>SUM(I16:I64)</f>
        <v>1371900</v>
      </c>
    </row>
    <row r="71" spans="1:9" x14ac:dyDescent="0.25">
      <c r="A71" s="862"/>
      <c r="B71" s="863"/>
      <c r="C71" s="863"/>
      <c r="D71" s="863"/>
      <c r="E71" s="863"/>
      <c r="F71" s="863"/>
      <c r="G71" s="863"/>
      <c r="H71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Q88"/>
  <sheetViews>
    <sheetView topLeftCell="A58" workbookViewId="0">
      <selection activeCell="I72" sqref="I72"/>
    </sheetView>
  </sheetViews>
  <sheetFormatPr defaultRowHeight="15" x14ac:dyDescent="0.25"/>
  <cols>
    <col min="1" max="1" width="4" style="789" customWidth="1"/>
    <col min="2" max="2" width="25.140625" style="789" customWidth="1"/>
    <col min="3" max="4" width="6.5703125" style="789" customWidth="1"/>
    <col min="5" max="5" width="11.28515625" style="789" customWidth="1"/>
    <col min="6" max="7" width="11.42578125" style="789" customWidth="1"/>
    <col min="8" max="8" width="11.7109375" style="789" customWidth="1"/>
    <col min="9" max="9" width="11.5703125" style="789" customWidth="1"/>
    <col min="10" max="10" width="12.5703125" style="789" customWidth="1"/>
    <col min="11" max="11" width="7.5703125" style="789" customWidth="1"/>
    <col min="12" max="12" width="12.5703125" style="789" customWidth="1"/>
    <col min="13" max="17" width="12.140625" style="789" customWidth="1"/>
    <col min="18" max="229" width="9.140625" style="789"/>
    <col min="230" max="230" width="4" style="789" customWidth="1"/>
    <col min="231" max="231" width="10.5703125" style="789" customWidth="1"/>
    <col min="232" max="232" width="11.140625" style="789" customWidth="1"/>
    <col min="233" max="233" width="8.7109375" style="789" customWidth="1"/>
    <col min="234" max="234" width="8" style="789" customWidth="1"/>
    <col min="235" max="235" width="10.28515625" style="789" customWidth="1"/>
    <col min="236" max="236" width="7.140625" style="789" customWidth="1"/>
    <col min="237" max="237" width="6.85546875" style="789" customWidth="1"/>
    <col min="238" max="238" width="11.7109375" style="789" customWidth="1"/>
    <col min="239" max="239" width="11.5703125" style="789" customWidth="1"/>
    <col min="240" max="240" width="9.140625" style="789"/>
    <col min="241" max="241" width="10.5703125" style="789" bestFit="1" customWidth="1"/>
    <col min="242" max="242" width="9.140625" style="789"/>
    <col min="243" max="243" width="12.140625" style="789" customWidth="1"/>
    <col min="244" max="485" width="9.140625" style="789"/>
    <col min="486" max="486" width="4" style="789" customWidth="1"/>
    <col min="487" max="487" width="10.5703125" style="789" customWidth="1"/>
    <col min="488" max="488" width="11.140625" style="789" customWidth="1"/>
    <col min="489" max="489" width="8.7109375" style="789" customWidth="1"/>
    <col min="490" max="490" width="8" style="789" customWidth="1"/>
    <col min="491" max="491" width="10.28515625" style="789" customWidth="1"/>
    <col min="492" max="492" width="7.140625" style="789" customWidth="1"/>
    <col min="493" max="493" width="6.85546875" style="789" customWidth="1"/>
    <col min="494" max="494" width="11.7109375" style="789" customWidth="1"/>
    <col min="495" max="495" width="11.5703125" style="789" customWidth="1"/>
    <col min="496" max="496" width="9.140625" style="789"/>
    <col min="497" max="497" width="10.5703125" style="789" bestFit="1" customWidth="1"/>
    <col min="498" max="498" width="9.140625" style="789"/>
    <col min="499" max="499" width="12.140625" style="789" customWidth="1"/>
    <col min="500" max="741" width="9.140625" style="789"/>
    <col min="742" max="742" width="4" style="789" customWidth="1"/>
    <col min="743" max="743" width="10.5703125" style="789" customWidth="1"/>
    <col min="744" max="744" width="11.140625" style="789" customWidth="1"/>
    <col min="745" max="745" width="8.7109375" style="789" customWidth="1"/>
    <col min="746" max="746" width="8" style="789" customWidth="1"/>
    <col min="747" max="747" width="10.28515625" style="789" customWidth="1"/>
    <col min="748" max="748" width="7.140625" style="789" customWidth="1"/>
    <col min="749" max="749" width="6.85546875" style="789" customWidth="1"/>
    <col min="750" max="750" width="11.7109375" style="789" customWidth="1"/>
    <col min="751" max="751" width="11.5703125" style="789" customWidth="1"/>
    <col min="752" max="752" width="9.140625" style="789"/>
    <col min="753" max="753" width="10.5703125" style="789" bestFit="1" customWidth="1"/>
    <col min="754" max="754" width="9.140625" style="789"/>
    <col min="755" max="755" width="12.140625" style="789" customWidth="1"/>
    <col min="756" max="997" width="9.140625" style="789"/>
    <col min="998" max="998" width="4" style="789" customWidth="1"/>
    <col min="999" max="999" width="10.5703125" style="789" customWidth="1"/>
    <col min="1000" max="1000" width="11.140625" style="789" customWidth="1"/>
    <col min="1001" max="1001" width="8.7109375" style="789" customWidth="1"/>
    <col min="1002" max="1002" width="8" style="789" customWidth="1"/>
    <col min="1003" max="1003" width="10.28515625" style="789" customWidth="1"/>
    <col min="1004" max="1004" width="7.140625" style="789" customWidth="1"/>
    <col min="1005" max="1005" width="6.85546875" style="789" customWidth="1"/>
    <col min="1006" max="1006" width="11.7109375" style="789" customWidth="1"/>
    <col min="1007" max="1007" width="11.5703125" style="789" customWidth="1"/>
    <col min="1008" max="1008" width="9.140625" style="789"/>
    <col min="1009" max="1009" width="10.5703125" style="789" bestFit="1" customWidth="1"/>
    <col min="1010" max="1010" width="9.140625" style="789"/>
    <col min="1011" max="1011" width="12.140625" style="789" customWidth="1"/>
    <col min="1012" max="1253" width="9.140625" style="789"/>
    <col min="1254" max="1254" width="4" style="789" customWidth="1"/>
    <col min="1255" max="1255" width="10.5703125" style="789" customWidth="1"/>
    <col min="1256" max="1256" width="11.140625" style="789" customWidth="1"/>
    <col min="1257" max="1257" width="8.7109375" style="789" customWidth="1"/>
    <col min="1258" max="1258" width="8" style="789" customWidth="1"/>
    <col min="1259" max="1259" width="10.28515625" style="789" customWidth="1"/>
    <col min="1260" max="1260" width="7.140625" style="789" customWidth="1"/>
    <col min="1261" max="1261" width="6.85546875" style="789" customWidth="1"/>
    <col min="1262" max="1262" width="11.7109375" style="789" customWidth="1"/>
    <col min="1263" max="1263" width="11.5703125" style="789" customWidth="1"/>
    <col min="1264" max="1264" width="9.140625" style="789"/>
    <col min="1265" max="1265" width="10.5703125" style="789" bestFit="1" customWidth="1"/>
    <col min="1266" max="1266" width="9.140625" style="789"/>
    <col min="1267" max="1267" width="12.140625" style="789" customWidth="1"/>
    <col min="1268" max="1509" width="9.140625" style="789"/>
    <col min="1510" max="1510" width="4" style="789" customWidth="1"/>
    <col min="1511" max="1511" width="10.5703125" style="789" customWidth="1"/>
    <col min="1512" max="1512" width="11.140625" style="789" customWidth="1"/>
    <col min="1513" max="1513" width="8.7109375" style="789" customWidth="1"/>
    <col min="1514" max="1514" width="8" style="789" customWidth="1"/>
    <col min="1515" max="1515" width="10.28515625" style="789" customWidth="1"/>
    <col min="1516" max="1516" width="7.140625" style="789" customWidth="1"/>
    <col min="1517" max="1517" width="6.85546875" style="789" customWidth="1"/>
    <col min="1518" max="1518" width="11.7109375" style="789" customWidth="1"/>
    <col min="1519" max="1519" width="11.5703125" style="789" customWidth="1"/>
    <col min="1520" max="1520" width="9.140625" style="789"/>
    <col min="1521" max="1521" width="10.5703125" style="789" bestFit="1" customWidth="1"/>
    <col min="1522" max="1522" width="9.140625" style="789"/>
    <col min="1523" max="1523" width="12.140625" style="789" customWidth="1"/>
    <col min="1524" max="1765" width="9.140625" style="789"/>
    <col min="1766" max="1766" width="4" style="789" customWidth="1"/>
    <col min="1767" max="1767" width="10.5703125" style="789" customWidth="1"/>
    <col min="1768" max="1768" width="11.140625" style="789" customWidth="1"/>
    <col min="1769" max="1769" width="8.7109375" style="789" customWidth="1"/>
    <col min="1770" max="1770" width="8" style="789" customWidth="1"/>
    <col min="1771" max="1771" width="10.28515625" style="789" customWidth="1"/>
    <col min="1772" max="1772" width="7.140625" style="789" customWidth="1"/>
    <col min="1773" max="1773" width="6.85546875" style="789" customWidth="1"/>
    <col min="1774" max="1774" width="11.7109375" style="789" customWidth="1"/>
    <col min="1775" max="1775" width="11.5703125" style="789" customWidth="1"/>
    <col min="1776" max="1776" width="9.140625" style="789"/>
    <col min="1777" max="1777" width="10.5703125" style="789" bestFit="1" customWidth="1"/>
    <col min="1778" max="1778" width="9.140625" style="789"/>
    <col min="1779" max="1779" width="12.140625" style="789" customWidth="1"/>
    <col min="1780" max="2021" width="9.140625" style="789"/>
    <col min="2022" max="2022" width="4" style="789" customWidth="1"/>
    <col min="2023" max="2023" width="10.5703125" style="789" customWidth="1"/>
    <col min="2024" max="2024" width="11.140625" style="789" customWidth="1"/>
    <col min="2025" max="2025" width="8.7109375" style="789" customWidth="1"/>
    <col min="2026" max="2026" width="8" style="789" customWidth="1"/>
    <col min="2027" max="2027" width="10.28515625" style="789" customWidth="1"/>
    <col min="2028" max="2028" width="7.140625" style="789" customWidth="1"/>
    <col min="2029" max="2029" width="6.85546875" style="789" customWidth="1"/>
    <col min="2030" max="2030" width="11.7109375" style="789" customWidth="1"/>
    <col min="2031" max="2031" width="11.5703125" style="789" customWidth="1"/>
    <col min="2032" max="2032" width="9.140625" style="789"/>
    <col min="2033" max="2033" width="10.5703125" style="789" bestFit="1" customWidth="1"/>
    <col min="2034" max="2034" width="9.140625" style="789"/>
    <col min="2035" max="2035" width="12.140625" style="789" customWidth="1"/>
    <col min="2036" max="2277" width="9.140625" style="789"/>
    <col min="2278" max="2278" width="4" style="789" customWidth="1"/>
    <col min="2279" max="2279" width="10.5703125" style="789" customWidth="1"/>
    <col min="2280" max="2280" width="11.140625" style="789" customWidth="1"/>
    <col min="2281" max="2281" width="8.7109375" style="789" customWidth="1"/>
    <col min="2282" max="2282" width="8" style="789" customWidth="1"/>
    <col min="2283" max="2283" width="10.28515625" style="789" customWidth="1"/>
    <col min="2284" max="2284" width="7.140625" style="789" customWidth="1"/>
    <col min="2285" max="2285" width="6.85546875" style="789" customWidth="1"/>
    <col min="2286" max="2286" width="11.7109375" style="789" customWidth="1"/>
    <col min="2287" max="2287" width="11.5703125" style="789" customWidth="1"/>
    <col min="2288" max="2288" width="9.140625" style="789"/>
    <col min="2289" max="2289" width="10.5703125" style="789" bestFit="1" customWidth="1"/>
    <col min="2290" max="2290" width="9.140625" style="789"/>
    <col min="2291" max="2291" width="12.140625" style="789" customWidth="1"/>
    <col min="2292" max="2533" width="9.140625" style="789"/>
    <col min="2534" max="2534" width="4" style="789" customWidth="1"/>
    <col min="2535" max="2535" width="10.5703125" style="789" customWidth="1"/>
    <col min="2536" max="2536" width="11.140625" style="789" customWidth="1"/>
    <col min="2537" max="2537" width="8.7109375" style="789" customWidth="1"/>
    <col min="2538" max="2538" width="8" style="789" customWidth="1"/>
    <col min="2539" max="2539" width="10.28515625" style="789" customWidth="1"/>
    <col min="2540" max="2540" width="7.140625" style="789" customWidth="1"/>
    <col min="2541" max="2541" width="6.85546875" style="789" customWidth="1"/>
    <col min="2542" max="2542" width="11.7109375" style="789" customWidth="1"/>
    <col min="2543" max="2543" width="11.5703125" style="789" customWidth="1"/>
    <col min="2544" max="2544" width="9.140625" style="789"/>
    <col min="2545" max="2545" width="10.5703125" style="789" bestFit="1" customWidth="1"/>
    <col min="2546" max="2546" width="9.140625" style="789"/>
    <col min="2547" max="2547" width="12.140625" style="789" customWidth="1"/>
    <col min="2548" max="2789" width="9.140625" style="789"/>
    <col min="2790" max="2790" width="4" style="789" customWidth="1"/>
    <col min="2791" max="2791" width="10.5703125" style="789" customWidth="1"/>
    <col min="2792" max="2792" width="11.140625" style="789" customWidth="1"/>
    <col min="2793" max="2793" width="8.7109375" style="789" customWidth="1"/>
    <col min="2794" max="2794" width="8" style="789" customWidth="1"/>
    <col min="2795" max="2795" width="10.28515625" style="789" customWidth="1"/>
    <col min="2796" max="2796" width="7.140625" style="789" customWidth="1"/>
    <col min="2797" max="2797" width="6.85546875" style="789" customWidth="1"/>
    <col min="2798" max="2798" width="11.7109375" style="789" customWidth="1"/>
    <col min="2799" max="2799" width="11.5703125" style="789" customWidth="1"/>
    <col min="2800" max="2800" width="9.140625" style="789"/>
    <col min="2801" max="2801" width="10.5703125" style="789" bestFit="1" customWidth="1"/>
    <col min="2802" max="2802" width="9.140625" style="789"/>
    <col min="2803" max="2803" width="12.140625" style="789" customWidth="1"/>
    <col min="2804" max="3045" width="9.140625" style="789"/>
    <col min="3046" max="3046" width="4" style="789" customWidth="1"/>
    <col min="3047" max="3047" width="10.5703125" style="789" customWidth="1"/>
    <col min="3048" max="3048" width="11.140625" style="789" customWidth="1"/>
    <col min="3049" max="3049" width="8.7109375" style="789" customWidth="1"/>
    <col min="3050" max="3050" width="8" style="789" customWidth="1"/>
    <col min="3051" max="3051" width="10.28515625" style="789" customWidth="1"/>
    <col min="3052" max="3052" width="7.140625" style="789" customWidth="1"/>
    <col min="3053" max="3053" width="6.85546875" style="789" customWidth="1"/>
    <col min="3054" max="3054" width="11.7109375" style="789" customWidth="1"/>
    <col min="3055" max="3055" width="11.5703125" style="789" customWidth="1"/>
    <col min="3056" max="3056" width="9.140625" style="789"/>
    <col min="3057" max="3057" width="10.5703125" style="789" bestFit="1" customWidth="1"/>
    <col min="3058" max="3058" width="9.140625" style="789"/>
    <col min="3059" max="3059" width="12.140625" style="789" customWidth="1"/>
    <col min="3060" max="3301" width="9.140625" style="789"/>
    <col min="3302" max="3302" width="4" style="789" customWidth="1"/>
    <col min="3303" max="3303" width="10.5703125" style="789" customWidth="1"/>
    <col min="3304" max="3304" width="11.140625" style="789" customWidth="1"/>
    <col min="3305" max="3305" width="8.7109375" style="789" customWidth="1"/>
    <col min="3306" max="3306" width="8" style="789" customWidth="1"/>
    <col min="3307" max="3307" width="10.28515625" style="789" customWidth="1"/>
    <col min="3308" max="3308" width="7.140625" style="789" customWidth="1"/>
    <col min="3309" max="3309" width="6.85546875" style="789" customWidth="1"/>
    <col min="3310" max="3310" width="11.7109375" style="789" customWidth="1"/>
    <col min="3311" max="3311" width="11.5703125" style="789" customWidth="1"/>
    <col min="3312" max="3312" width="9.140625" style="789"/>
    <col min="3313" max="3313" width="10.5703125" style="789" bestFit="1" customWidth="1"/>
    <col min="3314" max="3314" width="9.140625" style="789"/>
    <col min="3315" max="3315" width="12.140625" style="789" customWidth="1"/>
    <col min="3316" max="3557" width="9.140625" style="789"/>
    <col min="3558" max="3558" width="4" style="789" customWidth="1"/>
    <col min="3559" max="3559" width="10.5703125" style="789" customWidth="1"/>
    <col min="3560" max="3560" width="11.140625" style="789" customWidth="1"/>
    <col min="3561" max="3561" width="8.7109375" style="789" customWidth="1"/>
    <col min="3562" max="3562" width="8" style="789" customWidth="1"/>
    <col min="3563" max="3563" width="10.28515625" style="789" customWidth="1"/>
    <col min="3564" max="3564" width="7.140625" style="789" customWidth="1"/>
    <col min="3565" max="3565" width="6.85546875" style="789" customWidth="1"/>
    <col min="3566" max="3566" width="11.7109375" style="789" customWidth="1"/>
    <col min="3567" max="3567" width="11.5703125" style="789" customWidth="1"/>
    <col min="3568" max="3568" width="9.140625" style="789"/>
    <col min="3569" max="3569" width="10.5703125" style="789" bestFit="1" customWidth="1"/>
    <col min="3570" max="3570" width="9.140625" style="789"/>
    <col min="3571" max="3571" width="12.140625" style="789" customWidth="1"/>
    <col min="3572" max="3813" width="9.140625" style="789"/>
    <col min="3814" max="3814" width="4" style="789" customWidth="1"/>
    <col min="3815" max="3815" width="10.5703125" style="789" customWidth="1"/>
    <col min="3816" max="3816" width="11.140625" style="789" customWidth="1"/>
    <col min="3817" max="3817" width="8.7109375" style="789" customWidth="1"/>
    <col min="3818" max="3818" width="8" style="789" customWidth="1"/>
    <col min="3819" max="3819" width="10.28515625" style="789" customWidth="1"/>
    <col min="3820" max="3820" width="7.140625" style="789" customWidth="1"/>
    <col min="3821" max="3821" width="6.85546875" style="789" customWidth="1"/>
    <col min="3822" max="3822" width="11.7109375" style="789" customWidth="1"/>
    <col min="3823" max="3823" width="11.5703125" style="789" customWidth="1"/>
    <col min="3824" max="3824" width="9.140625" style="789"/>
    <col min="3825" max="3825" width="10.5703125" style="789" bestFit="1" customWidth="1"/>
    <col min="3826" max="3826" width="9.140625" style="789"/>
    <col min="3827" max="3827" width="12.140625" style="789" customWidth="1"/>
    <col min="3828" max="4069" width="9.140625" style="789"/>
    <col min="4070" max="4070" width="4" style="789" customWidth="1"/>
    <col min="4071" max="4071" width="10.5703125" style="789" customWidth="1"/>
    <col min="4072" max="4072" width="11.140625" style="789" customWidth="1"/>
    <col min="4073" max="4073" width="8.7109375" style="789" customWidth="1"/>
    <col min="4074" max="4074" width="8" style="789" customWidth="1"/>
    <col min="4075" max="4075" width="10.28515625" style="789" customWidth="1"/>
    <col min="4076" max="4076" width="7.140625" style="789" customWidth="1"/>
    <col min="4077" max="4077" width="6.85546875" style="789" customWidth="1"/>
    <col min="4078" max="4078" width="11.7109375" style="789" customWidth="1"/>
    <col min="4079" max="4079" width="11.5703125" style="789" customWidth="1"/>
    <col min="4080" max="4080" width="9.140625" style="789"/>
    <col min="4081" max="4081" width="10.5703125" style="789" bestFit="1" customWidth="1"/>
    <col min="4082" max="4082" width="9.140625" style="789"/>
    <col min="4083" max="4083" width="12.140625" style="789" customWidth="1"/>
    <col min="4084" max="4325" width="9.140625" style="789"/>
    <col min="4326" max="4326" width="4" style="789" customWidth="1"/>
    <col min="4327" max="4327" width="10.5703125" style="789" customWidth="1"/>
    <col min="4328" max="4328" width="11.140625" style="789" customWidth="1"/>
    <col min="4329" max="4329" width="8.7109375" style="789" customWidth="1"/>
    <col min="4330" max="4330" width="8" style="789" customWidth="1"/>
    <col min="4331" max="4331" width="10.28515625" style="789" customWidth="1"/>
    <col min="4332" max="4332" width="7.140625" style="789" customWidth="1"/>
    <col min="4333" max="4333" width="6.85546875" style="789" customWidth="1"/>
    <col min="4334" max="4334" width="11.7109375" style="789" customWidth="1"/>
    <col min="4335" max="4335" width="11.5703125" style="789" customWidth="1"/>
    <col min="4336" max="4336" width="9.140625" style="789"/>
    <col min="4337" max="4337" width="10.5703125" style="789" bestFit="1" customWidth="1"/>
    <col min="4338" max="4338" width="9.140625" style="789"/>
    <col min="4339" max="4339" width="12.140625" style="789" customWidth="1"/>
    <col min="4340" max="4581" width="9.140625" style="789"/>
    <col min="4582" max="4582" width="4" style="789" customWidth="1"/>
    <col min="4583" max="4583" width="10.5703125" style="789" customWidth="1"/>
    <col min="4584" max="4584" width="11.140625" style="789" customWidth="1"/>
    <col min="4585" max="4585" width="8.7109375" style="789" customWidth="1"/>
    <col min="4586" max="4586" width="8" style="789" customWidth="1"/>
    <col min="4587" max="4587" width="10.28515625" style="789" customWidth="1"/>
    <col min="4588" max="4588" width="7.140625" style="789" customWidth="1"/>
    <col min="4589" max="4589" width="6.85546875" style="789" customWidth="1"/>
    <col min="4590" max="4590" width="11.7109375" style="789" customWidth="1"/>
    <col min="4591" max="4591" width="11.5703125" style="789" customWidth="1"/>
    <col min="4592" max="4592" width="9.140625" style="789"/>
    <col min="4593" max="4593" width="10.5703125" style="789" bestFit="1" customWidth="1"/>
    <col min="4594" max="4594" width="9.140625" style="789"/>
    <col min="4595" max="4595" width="12.140625" style="789" customWidth="1"/>
    <col min="4596" max="4837" width="9.140625" style="789"/>
    <col min="4838" max="4838" width="4" style="789" customWidth="1"/>
    <col min="4839" max="4839" width="10.5703125" style="789" customWidth="1"/>
    <col min="4840" max="4840" width="11.140625" style="789" customWidth="1"/>
    <col min="4841" max="4841" width="8.7109375" style="789" customWidth="1"/>
    <col min="4842" max="4842" width="8" style="789" customWidth="1"/>
    <col min="4843" max="4843" width="10.28515625" style="789" customWidth="1"/>
    <col min="4844" max="4844" width="7.140625" style="789" customWidth="1"/>
    <col min="4845" max="4845" width="6.85546875" style="789" customWidth="1"/>
    <col min="4846" max="4846" width="11.7109375" style="789" customWidth="1"/>
    <col min="4847" max="4847" width="11.5703125" style="789" customWidth="1"/>
    <col min="4848" max="4848" width="9.140625" style="789"/>
    <col min="4849" max="4849" width="10.5703125" style="789" bestFit="1" customWidth="1"/>
    <col min="4850" max="4850" width="9.140625" style="789"/>
    <col min="4851" max="4851" width="12.140625" style="789" customWidth="1"/>
    <col min="4852" max="5093" width="9.140625" style="789"/>
    <col min="5094" max="5094" width="4" style="789" customWidth="1"/>
    <col min="5095" max="5095" width="10.5703125" style="789" customWidth="1"/>
    <col min="5096" max="5096" width="11.140625" style="789" customWidth="1"/>
    <col min="5097" max="5097" width="8.7109375" style="789" customWidth="1"/>
    <col min="5098" max="5098" width="8" style="789" customWidth="1"/>
    <col min="5099" max="5099" width="10.28515625" style="789" customWidth="1"/>
    <col min="5100" max="5100" width="7.140625" style="789" customWidth="1"/>
    <col min="5101" max="5101" width="6.85546875" style="789" customWidth="1"/>
    <col min="5102" max="5102" width="11.7109375" style="789" customWidth="1"/>
    <col min="5103" max="5103" width="11.5703125" style="789" customWidth="1"/>
    <col min="5104" max="5104" width="9.140625" style="789"/>
    <col min="5105" max="5105" width="10.5703125" style="789" bestFit="1" customWidth="1"/>
    <col min="5106" max="5106" width="9.140625" style="789"/>
    <col min="5107" max="5107" width="12.140625" style="789" customWidth="1"/>
    <col min="5108" max="5349" width="9.140625" style="789"/>
    <col min="5350" max="5350" width="4" style="789" customWidth="1"/>
    <col min="5351" max="5351" width="10.5703125" style="789" customWidth="1"/>
    <col min="5352" max="5352" width="11.140625" style="789" customWidth="1"/>
    <col min="5353" max="5353" width="8.7109375" style="789" customWidth="1"/>
    <col min="5354" max="5354" width="8" style="789" customWidth="1"/>
    <col min="5355" max="5355" width="10.28515625" style="789" customWidth="1"/>
    <col min="5356" max="5356" width="7.140625" style="789" customWidth="1"/>
    <col min="5357" max="5357" width="6.85546875" style="789" customWidth="1"/>
    <col min="5358" max="5358" width="11.7109375" style="789" customWidth="1"/>
    <col min="5359" max="5359" width="11.5703125" style="789" customWidth="1"/>
    <col min="5360" max="5360" width="9.140625" style="789"/>
    <col min="5361" max="5361" width="10.5703125" style="789" bestFit="1" customWidth="1"/>
    <col min="5362" max="5362" width="9.140625" style="789"/>
    <col min="5363" max="5363" width="12.140625" style="789" customWidth="1"/>
    <col min="5364" max="5605" width="9.140625" style="789"/>
    <col min="5606" max="5606" width="4" style="789" customWidth="1"/>
    <col min="5607" max="5607" width="10.5703125" style="789" customWidth="1"/>
    <col min="5608" max="5608" width="11.140625" style="789" customWidth="1"/>
    <col min="5609" max="5609" width="8.7109375" style="789" customWidth="1"/>
    <col min="5610" max="5610" width="8" style="789" customWidth="1"/>
    <col min="5611" max="5611" width="10.28515625" style="789" customWidth="1"/>
    <col min="5612" max="5612" width="7.140625" style="789" customWidth="1"/>
    <col min="5613" max="5613" width="6.85546875" style="789" customWidth="1"/>
    <col min="5614" max="5614" width="11.7109375" style="789" customWidth="1"/>
    <col min="5615" max="5615" width="11.5703125" style="789" customWidth="1"/>
    <col min="5616" max="5616" width="9.140625" style="789"/>
    <col min="5617" max="5617" width="10.5703125" style="789" bestFit="1" customWidth="1"/>
    <col min="5618" max="5618" width="9.140625" style="789"/>
    <col min="5619" max="5619" width="12.140625" style="789" customWidth="1"/>
    <col min="5620" max="5861" width="9.140625" style="789"/>
    <col min="5862" max="5862" width="4" style="789" customWidth="1"/>
    <col min="5863" max="5863" width="10.5703125" style="789" customWidth="1"/>
    <col min="5864" max="5864" width="11.140625" style="789" customWidth="1"/>
    <col min="5865" max="5865" width="8.7109375" style="789" customWidth="1"/>
    <col min="5866" max="5866" width="8" style="789" customWidth="1"/>
    <col min="5867" max="5867" width="10.28515625" style="789" customWidth="1"/>
    <col min="5868" max="5868" width="7.140625" style="789" customWidth="1"/>
    <col min="5869" max="5869" width="6.85546875" style="789" customWidth="1"/>
    <col min="5870" max="5870" width="11.7109375" style="789" customWidth="1"/>
    <col min="5871" max="5871" width="11.5703125" style="789" customWidth="1"/>
    <col min="5872" max="5872" width="9.140625" style="789"/>
    <col min="5873" max="5873" width="10.5703125" style="789" bestFit="1" customWidth="1"/>
    <col min="5874" max="5874" width="9.140625" style="789"/>
    <col min="5875" max="5875" width="12.140625" style="789" customWidth="1"/>
    <col min="5876" max="6117" width="9.140625" style="789"/>
    <col min="6118" max="6118" width="4" style="789" customWidth="1"/>
    <col min="6119" max="6119" width="10.5703125" style="789" customWidth="1"/>
    <col min="6120" max="6120" width="11.140625" style="789" customWidth="1"/>
    <col min="6121" max="6121" width="8.7109375" style="789" customWidth="1"/>
    <col min="6122" max="6122" width="8" style="789" customWidth="1"/>
    <col min="6123" max="6123" width="10.28515625" style="789" customWidth="1"/>
    <col min="6124" max="6124" width="7.140625" style="789" customWidth="1"/>
    <col min="6125" max="6125" width="6.85546875" style="789" customWidth="1"/>
    <col min="6126" max="6126" width="11.7109375" style="789" customWidth="1"/>
    <col min="6127" max="6127" width="11.5703125" style="789" customWidth="1"/>
    <col min="6128" max="6128" width="9.140625" style="789"/>
    <col min="6129" max="6129" width="10.5703125" style="789" bestFit="1" customWidth="1"/>
    <col min="6130" max="6130" width="9.140625" style="789"/>
    <col min="6131" max="6131" width="12.140625" style="789" customWidth="1"/>
    <col min="6132" max="6373" width="9.140625" style="789"/>
    <col min="6374" max="6374" width="4" style="789" customWidth="1"/>
    <col min="6375" max="6375" width="10.5703125" style="789" customWidth="1"/>
    <col min="6376" max="6376" width="11.140625" style="789" customWidth="1"/>
    <col min="6377" max="6377" width="8.7109375" style="789" customWidth="1"/>
    <col min="6378" max="6378" width="8" style="789" customWidth="1"/>
    <col min="6379" max="6379" width="10.28515625" style="789" customWidth="1"/>
    <col min="6380" max="6380" width="7.140625" style="789" customWidth="1"/>
    <col min="6381" max="6381" width="6.85546875" style="789" customWidth="1"/>
    <col min="6382" max="6382" width="11.7109375" style="789" customWidth="1"/>
    <col min="6383" max="6383" width="11.5703125" style="789" customWidth="1"/>
    <col min="6384" max="6384" width="9.140625" style="789"/>
    <col min="6385" max="6385" width="10.5703125" style="789" bestFit="1" customWidth="1"/>
    <col min="6386" max="6386" width="9.140625" style="789"/>
    <col min="6387" max="6387" width="12.140625" style="789" customWidth="1"/>
    <col min="6388" max="6629" width="9.140625" style="789"/>
    <col min="6630" max="6630" width="4" style="789" customWidth="1"/>
    <col min="6631" max="6631" width="10.5703125" style="789" customWidth="1"/>
    <col min="6632" max="6632" width="11.140625" style="789" customWidth="1"/>
    <col min="6633" max="6633" width="8.7109375" style="789" customWidth="1"/>
    <col min="6634" max="6634" width="8" style="789" customWidth="1"/>
    <col min="6635" max="6635" width="10.28515625" style="789" customWidth="1"/>
    <col min="6636" max="6636" width="7.140625" style="789" customWidth="1"/>
    <col min="6637" max="6637" width="6.85546875" style="789" customWidth="1"/>
    <col min="6638" max="6638" width="11.7109375" style="789" customWidth="1"/>
    <col min="6639" max="6639" width="11.5703125" style="789" customWidth="1"/>
    <col min="6640" max="6640" width="9.140625" style="789"/>
    <col min="6641" max="6641" width="10.5703125" style="789" bestFit="1" customWidth="1"/>
    <col min="6642" max="6642" width="9.140625" style="789"/>
    <col min="6643" max="6643" width="12.140625" style="789" customWidth="1"/>
    <col min="6644" max="6885" width="9.140625" style="789"/>
    <col min="6886" max="6886" width="4" style="789" customWidth="1"/>
    <col min="6887" max="6887" width="10.5703125" style="789" customWidth="1"/>
    <col min="6888" max="6888" width="11.140625" style="789" customWidth="1"/>
    <col min="6889" max="6889" width="8.7109375" style="789" customWidth="1"/>
    <col min="6890" max="6890" width="8" style="789" customWidth="1"/>
    <col min="6891" max="6891" width="10.28515625" style="789" customWidth="1"/>
    <col min="6892" max="6892" width="7.140625" style="789" customWidth="1"/>
    <col min="6893" max="6893" width="6.85546875" style="789" customWidth="1"/>
    <col min="6894" max="6894" width="11.7109375" style="789" customWidth="1"/>
    <col min="6895" max="6895" width="11.5703125" style="789" customWidth="1"/>
    <col min="6896" max="6896" width="9.140625" style="789"/>
    <col min="6897" max="6897" width="10.5703125" style="789" bestFit="1" customWidth="1"/>
    <col min="6898" max="6898" width="9.140625" style="789"/>
    <col min="6899" max="6899" width="12.140625" style="789" customWidth="1"/>
    <col min="6900" max="7141" width="9.140625" style="789"/>
    <col min="7142" max="7142" width="4" style="789" customWidth="1"/>
    <col min="7143" max="7143" width="10.5703125" style="789" customWidth="1"/>
    <col min="7144" max="7144" width="11.140625" style="789" customWidth="1"/>
    <col min="7145" max="7145" width="8.7109375" style="789" customWidth="1"/>
    <col min="7146" max="7146" width="8" style="789" customWidth="1"/>
    <col min="7147" max="7147" width="10.28515625" style="789" customWidth="1"/>
    <col min="7148" max="7148" width="7.140625" style="789" customWidth="1"/>
    <col min="7149" max="7149" width="6.85546875" style="789" customWidth="1"/>
    <col min="7150" max="7150" width="11.7109375" style="789" customWidth="1"/>
    <col min="7151" max="7151" width="11.5703125" style="789" customWidth="1"/>
    <col min="7152" max="7152" width="9.140625" style="789"/>
    <col min="7153" max="7153" width="10.5703125" style="789" bestFit="1" customWidth="1"/>
    <col min="7154" max="7154" width="9.140625" style="789"/>
    <col min="7155" max="7155" width="12.140625" style="789" customWidth="1"/>
    <col min="7156" max="7397" width="9.140625" style="789"/>
    <col min="7398" max="7398" width="4" style="789" customWidth="1"/>
    <col min="7399" max="7399" width="10.5703125" style="789" customWidth="1"/>
    <col min="7400" max="7400" width="11.140625" style="789" customWidth="1"/>
    <col min="7401" max="7401" width="8.7109375" style="789" customWidth="1"/>
    <col min="7402" max="7402" width="8" style="789" customWidth="1"/>
    <col min="7403" max="7403" width="10.28515625" style="789" customWidth="1"/>
    <col min="7404" max="7404" width="7.140625" style="789" customWidth="1"/>
    <col min="7405" max="7405" width="6.85546875" style="789" customWidth="1"/>
    <col min="7406" max="7406" width="11.7109375" style="789" customWidth="1"/>
    <col min="7407" max="7407" width="11.5703125" style="789" customWidth="1"/>
    <col min="7408" max="7408" width="9.140625" style="789"/>
    <col min="7409" max="7409" width="10.5703125" style="789" bestFit="1" customWidth="1"/>
    <col min="7410" max="7410" width="9.140625" style="789"/>
    <col min="7411" max="7411" width="12.140625" style="789" customWidth="1"/>
    <col min="7412" max="7653" width="9.140625" style="789"/>
    <col min="7654" max="7654" width="4" style="789" customWidth="1"/>
    <col min="7655" max="7655" width="10.5703125" style="789" customWidth="1"/>
    <col min="7656" max="7656" width="11.140625" style="789" customWidth="1"/>
    <col min="7657" max="7657" width="8.7109375" style="789" customWidth="1"/>
    <col min="7658" max="7658" width="8" style="789" customWidth="1"/>
    <col min="7659" max="7659" width="10.28515625" style="789" customWidth="1"/>
    <col min="7660" max="7660" width="7.140625" style="789" customWidth="1"/>
    <col min="7661" max="7661" width="6.85546875" style="789" customWidth="1"/>
    <col min="7662" max="7662" width="11.7109375" style="789" customWidth="1"/>
    <col min="7663" max="7663" width="11.5703125" style="789" customWidth="1"/>
    <col min="7664" max="7664" width="9.140625" style="789"/>
    <col min="7665" max="7665" width="10.5703125" style="789" bestFit="1" customWidth="1"/>
    <col min="7666" max="7666" width="9.140625" style="789"/>
    <col min="7667" max="7667" width="12.140625" style="789" customWidth="1"/>
    <col min="7668" max="7909" width="9.140625" style="789"/>
    <col min="7910" max="7910" width="4" style="789" customWidth="1"/>
    <col min="7911" max="7911" width="10.5703125" style="789" customWidth="1"/>
    <col min="7912" max="7912" width="11.140625" style="789" customWidth="1"/>
    <col min="7913" max="7913" width="8.7109375" style="789" customWidth="1"/>
    <col min="7914" max="7914" width="8" style="789" customWidth="1"/>
    <col min="7915" max="7915" width="10.28515625" style="789" customWidth="1"/>
    <col min="7916" max="7916" width="7.140625" style="789" customWidth="1"/>
    <col min="7917" max="7917" width="6.85546875" style="789" customWidth="1"/>
    <col min="7918" max="7918" width="11.7109375" style="789" customWidth="1"/>
    <col min="7919" max="7919" width="11.5703125" style="789" customWidth="1"/>
    <col min="7920" max="7920" width="9.140625" style="789"/>
    <col min="7921" max="7921" width="10.5703125" style="789" bestFit="1" customWidth="1"/>
    <col min="7922" max="7922" width="9.140625" style="789"/>
    <col min="7923" max="7923" width="12.140625" style="789" customWidth="1"/>
    <col min="7924" max="8165" width="9.140625" style="789"/>
    <col min="8166" max="8166" width="4" style="789" customWidth="1"/>
    <col min="8167" max="8167" width="10.5703125" style="789" customWidth="1"/>
    <col min="8168" max="8168" width="11.140625" style="789" customWidth="1"/>
    <col min="8169" max="8169" width="8.7109375" style="789" customWidth="1"/>
    <col min="8170" max="8170" width="8" style="789" customWidth="1"/>
    <col min="8171" max="8171" width="10.28515625" style="789" customWidth="1"/>
    <col min="8172" max="8172" width="7.140625" style="789" customWidth="1"/>
    <col min="8173" max="8173" width="6.85546875" style="789" customWidth="1"/>
    <col min="8174" max="8174" width="11.7109375" style="789" customWidth="1"/>
    <col min="8175" max="8175" width="11.5703125" style="789" customWidth="1"/>
    <col min="8176" max="8176" width="9.140625" style="789"/>
    <col min="8177" max="8177" width="10.5703125" style="789" bestFit="1" customWidth="1"/>
    <col min="8178" max="8178" width="9.140625" style="789"/>
    <col min="8179" max="8179" width="12.140625" style="789" customWidth="1"/>
    <col min="8180" max="8421" width="9.140625" style="789"/>
    <col min="8422" max="8422" width="4" style="789" customWidth="1"/>
    <col min="8423" max="8423" width="10.5703125" style="789" customWidth="1"/>
    <col min="8424" max="8424" width="11.140625" style="789" customWidth="1"/>
    <col min="8425" max="8425" width="8.7109375" style="789" customWidth="1"/>
    <col min="8426" max="8426" width="8" style="789" customWidth="1"/>
    <col min="8427" max="8427" width="10.28515625" style="789" customWidth="1"/>
    <col min="8428" max="8428" width="7.140625" style="789" customWidth="1"/>
    <col min="8429" max="8429" width="6.85546875" style="789" customWidth="1"/>
    <col min="8430" max="8430" width="11.7109375" style="789" customWidth="1"/>
    <col min="8431" max="8431" width="11.5703125" style="789" customWidth="1"/>
    <col min="8432" max="8432" width="9.140625" style="789"/>
    <col min="8433" max="8433" width="10.5703125" style="789" bestFit="1" customWidth="1"/>
    <col min="8434" max="8434" width="9.140625" style="789"/>
    <col min="8435" max="8435" width="12.140625" style="789" customWidth="1"/>
    <col min="8436" max="8677" width="9.140625" style="789"/>
    <col min="8678" max="8678" width="4" style="789" customWidth="1"/>
    <col min="8679" max="8679" width="10.5703125" style="789" customWidth="1"/>
    <col min="8680" max="8680" width="11.140625" style="789" customWidth="1"/>
    <col min="8681" max="8681" width="8.7109375" style="789" customWidth="1"/>
    <col min="8682" max="8682" width="8" style="789" customWidth="1"/>
    <col min="8683" max="8683" width="10.28515625" style="789" customWidth="1"/>
    <col min="8684" max="8684" width="7.140625" style="789" customWidth="1"/>
    <col min="8685" max="8685" width="6.85546875" style="789" customWidth="1"/>
    <col min="8686" max="8686" width="11.7109375" style="789" customWidth="1"/>
    <col min="8687" max="8687" width="11.5703125" style="789" customWidth="1"/>
    <col min="8688" max="8688" width="9.140625" style="789"/>
    <col min="8689" max="8689" width="10.5703125" style="789" bestFit="1" customWidth="1"/>
    <col min="8690" max="8690" width="9.140625" style="789"/>
    <col min="8691" max="8691" width="12.140625" style="789" customWidth="1"/>
    <col min="8692" max="8933" width="9.140625" style="789"/>
    <col min="8934" max="8934" width="4" style="789" customWidth="1"/>
    <col min="8935" max="8935" width="10.5703125" style="789" customWidth="1"/>
    <col min="8936" max="8936" width="11.140625" style="789" customWidth="1"/>
    <col min="8937" max="8937" width="8.7109375" style="789" customWidth="1"/>
    <col min="8938" max="8938" width="8" style="789" customWidth="1"/>
    <col min="8939" max="8939" width="10.28515625" style="789" customWidth="1"/>
    <col min="8940" max="8940" width="7.140625" style="789" customWidth="1"/>
    <col min="8941" max="8941" width="6.85546875" style="789" customWidth="1"/>
    <col min="8942" max="8942" width="11.7109375" style="789" customWidth="1"/>
    <col min="8943" max="8943" width="11.5703125" style="789" customWidth="1"/>
    <col min="8944" max="8944" width="9.140625" style="789"/>
    <col min="8945" max="8945" width="10.5703125" style="789" bestFit="1" customWidth="1"/>
    <col min="8946" max="8946" width="9.140625" style="789"/>
    <col min="8947" max="8947" width="12.140625" style="789" customWidth="1"/>
    <col min="8948" max="9189" width="9.140625" style="789"/>
    <col min="9190" max="9190" width="4" style="789" customWidth="1"/>
    <col min="9191" max="9191" width="10.5703125" style="789" customWidth="1"/>
    <col min="9192" max="9192" width="11.140625" style="789" customWidth="1"/>
    <col min="9193" max="9193" width="8.7109375" style="789" customWidth="1"/>
    <col min="9194" max="9194" width="8" style="789" customWidth="1"/>
    <col min="9195" max="9195" width="10.28515625" style="789" customWidth="1"/>
    <col min="9196" max="9196" width="7.140625" style="789" customWidth="1"/>
    <col min="9197" max="9197" width="6.85546875" style="789" customWidth="1"/>
    <col min="9198" max="9198" width="11.7109375" style="789" customWidth="1"/>
    <col min="9199" max="9199" width="11.5703125" style="789" customWidth="1"/>
    <col min="9200" max="9200" width="9.140625" style="789"/>
    <col min="9201" max="9201" width="10.5703125" style="789" bestFit="1" customWidth="1"/>
    <col min="9202" max="9202" width="9.140625" style="789"/>
    <col min="9203" max="9203" width="12.140625" style="789" customWidth="1"/>
    <col min="9204" max="9445" width="9.140625" style="789"/>
    <col min="9446" max="9446" width="4" style="789" customWidth="1"/>
    <col min="9447" max="9447" width="10.5703125" style="789" customWidth="1"/>
    <col min="9448" max="9448" width="11.140625" style="789" customWidth="1"/>
    <col min="9449" max="9449" width="8.7109375" style="789" customWidth="1"/>
    <col min="9450" max="9450" width="8" style="789" customWidth="1"/>
    <col min="9451" max="9451" width="10.28515625" style="789" customWidth="1"/>
    <col min="9452" max="9452" width="7.140625" style="789" customWidth="1"/>
    <col min="9453" max="9453" width="6.85546875" style="789" customWidth="1"/>
    <col min="9454" max="9454" width="11.7109375" style="789" customWidth="1"/>
    <col min="9455" max="9455" width="11.5703125" style="789" customWidth="1"/>
    <col min="9456" max="9456" width="9.140625" style="789"/>
    <col min="9457" max="9457" width="10.5703125" style="789" bestFit="1" customWidth="1"/>
    <col min="9458" max="9458" width="9.140625" style="789"/>
    <col min="9459" max="9459" width="12.140625" style="789" customWidth="1"/>
    <col min="9460" max="9701" width="9.140625" style="789"/>
    <col min="9702" max="9702" width="4" style="789" customWidth="1"/>
    <col min="9703" max="9703" width="10.5703125" style="789" customWidth="1"/>
    <col min="9704" max="9704" width="11.140625" style="789" customWidth="1"/>
    <col min="9705" max="9705" width="8.7109375" style="789" customWidth="1"/>
    <col min="9706" max="9706" width="8" style="789" customWidth="1"/>
    <col min="9707" max="9707" width="10.28515625" style="789" customWidth="1"/>
    <col min="9708" max="9708" width="7.140625" style="789" customWidth="1"/>
    <col min="9709" max="9709" width="6.85546875" style="789" customWidth="1"/>
    <col min="9710" max="9710" width="11.7109375" style="789" customWidth="1"/>
    <col min="9711" max="9711" width="11.5703125" style="789" customWidth="1"/>
    <col min="9712" max="9712" width="9.140625" style="789"/>
    <col min="9713" max="9713" width="10.5703125" style="789" bestFit="1" customWidth="1"/>
    <col min="9714" max="9714" width="9.140625" style="789"/>
    <col min="9715" max="9715" width="12.140625" style="789" customWidth="1"/>
    <col min="9716" max="9957" width="9.140625" style="789"/>
    <col min="9958" max="9958" width="4" style="789" customWidth="1"/>
    <col min="9959" max="9959" width="10.5703125" style="789" customWidth="1"/>
    <col min="9960" max="9960" width="11.140625" style="789" customWidth="1"/>
    <col min="9961" max="9961" width="8.7109375" style="789" customWidth="1"/>
    <col min="9962" max="9962" width="8" style="789" customWidth="1"/>
    <col min="9963" max="9963" width="10.28515625" style="789" customWidth="1"/>
    <col min="9964" max="9964" width="7.140625" style="789" customWidth="1"/>
    <col min="9965" max="9965" width="6.85546875" style="789" customWidth="1"/>
    <col min="9966" max="9966" width="11.7109375" style="789" customWidth="1"/>
    <col min="9967" max="9967" width="11.5703125" style="789" customWidth="1"/>
    <col min="9968" max="9968" width="9.140625" style="789"/>
    <col min="9969" max="9969" width="10.5703125" style="789" bestFit="1" customWidth="1"/>
    <col min="9970" max="9970" width="9.140625" style="789"/>
    <col min="9971" max="9971" width="12.140625" style="789" customWidth="1"/>
    <col min="9972" max="10213" width="9.140625" style="789"/>
    <col min="10214" max="10214" width="4" style="789" customWidth="1"/>
    <col min="10215" max="10215" width="10.5703125" style="789" customWidth="1"/>
    <col min="10216" max="10216" width="11.140625" style="789" customWidth="1"/>
    <col min="10217" max="10217" width="8.7109375" style="789" customWidth="1"/>
    <col min="10218" max="10218" width="8" style="789" customWidth="1"/>
    <col min="10219" max="10219" width="10.28515625" style="789" customWidth="1"/>
    <col min="10220" max="10220" width="7.140625" style="789" customWidth="1"/>
    <col min="10221" max="10221" width="6.85546875" style="789" customWidth="1"/>
    <col min="10222" max="10222" width="11.7109375" style="789" customWidth="1"/>
    <col min="10223" max="10223" width="11.5703125" style="789" customWidth="1"/>
    <col min="10224" max="10224" width="9.140625" style="789"/>
    <col min="10225" max="10225" width="10.5703125" style="789" bestFit="1" customWidth="1"/>
    <col min="10226" max="10226" width="9.140625" style="789"/>
    <col min="10227" max="10227" width="12.140625" style="789" customWidth="1"/>
    <col min="10228" max="10469" width="9.140625" style="789"/>
    <col min="10470" max="10470" width="4" style="789" customWidth="1"/>
    <col min="10471" max="10471" width="10.5703125" style="789" customWidth="1"/>
    <col min="10472" max="10472" width="11.140625" style="789" customWidth="1"/>
    <col min="10473" max="10473" width="8.7109375" style="789" customWidth="1"/>
    <col min="10474" max="10474" width="8" style="789" customWidth="1"/>
    <col min="10475" max="10475" width="10.28515625" style="789" customWidth="1"/>
    <col min="10476" max="10476" width="7.140625" style="789" customWidth="1"/>
    <col min="10477" max="10477" width="6.85546875" style="789" customWidth="1"/>
    <col min="10478" max="10478" width="11.7109375" style="789" customWidth="1"/>
    <col min="10479" max="10479" width="11.5703125" style="789" customWidth="1"/>
    <col min="10480" max="10480" width="9.140625" style="789"/>
    <col min="10481" max="10481" width="10.5703125" style="789" bestFit="1" customWidth="1"/>
    <col min="10482" max="10482" width="9.140625" style="789"/>
    <col min="10483" max="10483" width="12.140625" style="789" customWidth="1"/>
    <col min="10484" max="10725" width="9.140625" style="789"/>
    <col min="10726" max="10726" width="4" style="789" customWidth="1"/>
    <col min="10727" max="10727" width="10.5703125" style="789" customWidth="1"/>
    <col min="10728" max="10728" width="11.140625" style="789" customWidth="1"/>
    <col min="10729" max="10729" width="8.7109375" style="789" customWidth="1"/>
    <col min="10730" max="10730" width="8" style="789" customWidth="1"/>
    <col min="10731" max="10731" width="10.28515625" style="789" customWidth="1"/>
    <col min="10732" max="10732" width="7.140625" style="789" customWidth="1"/>
    <col min="10733" max="10733" width="6.85546875" style="789" customWidth="1"/>
    <col min="10734" max="10734" width="11.7109375" style="789" customWidth="1"/>
    <col min="10735" max="10735" width="11.5703125" style="789" customWidth="1"/>
    <col min="10736" max="10736" width="9.140625" style="789"/>
    <col min="10737" max="10737" width="10.5703125" style="789" bestFit="1" customWidth="1"/>
    <col min="10738" max="10738" width="9.140625" style="789"/>
    <col min="10739" max="10739" width="12.140625" style="789" customWidth="1"/>
    <col min="10740" max="10981" width="9.140625" style="789"/>
    <col min="10982" max="10982" width="4" style="789" customWidth="1"/>
    <col min="10983" max="10983" width="10.5703125" style="789" customWidth="1"/>
    <col min="10984" max="10984" width="11.140625" style="789" customWidth="1"/>
    <col min="10985" max="10985" width="8.7109375" style="789" customWidth="1"/>
    <col min="10986" max="10986" width="8" style="789" customWidth="1"/>
    <col min="10987" max="10987" width="10.28515625" style="789" customWidth="1"/>
    <col min="10988" max="10988" width="7.140625" style="789" customWidth="1"/>
    <col min="10989" max="10989" width="6.85546875" style="789" customWidth="1"/>
    <col min="10990" max="10990" width="11.7109375" style="789" customWidth="1"/>
    <col min="10991" max="10991" width="11.5703125" style="789" customWidth="1"/>
    <col min="10992" max="10992" width="9.140625" style="789"/>
    <col min="10993" max="10993" width="10.5703125" style="789" bestFit="1" customWidth="1"/>
    <col min="10994" max="10994" width="9.140625" style="789"/>
    <col min="10995" max="10995" width="12.140625" style="789" customWidth="1"/>
    <col min="10996" max="11237" width="9.140625" style="789"/>
    <col min="11238" max="11238" width="4" style="789" customWidth="1"/>
    <col min="11239" max="11239" width="10.5703125" style="789" customWidth="1"/>
    <col min="11240" max="11240" width="11.140625" style="789" customWidth="1"/>
    <col min="11241" max="11241" width="8.7109375" style="789" customWidth="1"/>
    <col min="11242" max="11242" width="8" style="789" customWidth="1"/>
    <col min="11243" max="11243" width="10.28515625" style="789" customWidth="1"/>
    <col min="11244" max="11244" width="7.140625" style="789" customWidth="1"/>
    <col min="11245" max="11245" width="6.85546875" style="789" customWidth="1"/>
    <col min="11246" max="11246" width="11.7109375" style="789" customWidth="1"/>
    <col min="11247" max="11247" width="11.5703125" style="789" customWidth="1"/>
    <col min="11248" max="11248" width="9.140625" style="789"/>
    <col min="11249" max="11249" width="10.5703125" style="789" bestFit="1" customWidth="1"/>
    <col min="11250" max="11250" width="9.140625" style="789"/>
    <col min="11251" max="11251" width="12.140625" style="789" customWidth="1"/>
    <col min="11252" max="11493" width="9.140625" style="789"/>
    <col min="11494" max="11494" width="4" style="789" customWidth="1"/>
    <col min="11495" max="11495" width="10.5703125" style="789" customWidth="1"/>
    <col min="11496" max="11496" width="11.140625" style="789" customWidth="1"/>
    <col min="11497" max="11497" width="8.7109375" style="789" customWidth="1"/>
    <col min="11498" max="11498" width="8" style="789" customWidth="1"/>
    <col min="11499" max="11499" width="10.28515625" style="789" customWidth="1"/>
    <col min="11500" max="11500" width="7.140625" style="789" customWidth="1"/>
    <col min="11501" max="11501" width="6.85546875" style="789" customWidth="1"/>
    <col min="11502" max="11502" width="11.7109375" style="789" customWidth="1"/>
    <col min="11503" max="11503" width="11.5703125" style="789" customWidth="1"/>
    <col min="11504" max="11504" width="9.140625" style="789"/>
    <col min="11505" max="11505" width="10.5703125" style="789" bestFit="1" customWidth="1"/>
    <col min="11506" max="11506" width="9.140625" style="789"/>
    <col min="11507" max="11507" width="12.140625" style="789" customWidth="1"/>
    <col min="11508" max="11749" width="9.140625" style="789"/>
    <col min="11750" max="11750" width="4" style="789" customWidth="1"/>
    <col min="11751" max="11751" width="10.5703125" style="789" customWidth="1"/>
    <col min="11752" max="11752" width="11.140625" style="789" customWidth="1"/>
    <col min="11753" max="11753" width="8.7109375" style="789" customWidth="1"/>
    <col min="11754" max="11754" width="8" style="789" customWidth="1"/>
    <col min="11755" max="11755" width="10.28515625" style="789" customWidth="1"/>
    <col min="11756" max="11756" width="7.140625" style="789" customWidth="1"/>
    <col min="11757" max="11757" width="6.85546875" style="789" customWidth="1"/>
    <col min="11758" max="11758" width="11.7109375" style="789" customWidth="1"/>
    <col min="11759" max="11759" width="11.5703125" style="789" customWidth="1"/>
    <col min="11760" max="11760" width="9.140625" style="789"/>
    <col min="11761" max="11761" width="10.5703125" style="789" bestFit="1" customWidth="1"/>
    <col min="11762" max="11762" width="9.140625" style="789"/>
    <col min="11763" max="11763" width="12.140625" style="789" customWidth="1"/>
    <col min="11764" max="12005" width="9.140625" style="789"/>
    <col min="12006" max="12006" width="4" style="789" customWidth="1"/>
    <col min="12007" max="12007" width="10.5703125" style="789" customWidth="1"/>
    <col min="12008" max="12008" width="11.140625" style="789" customWidth="1"/>
    <col min="12009" max="12009" width="8.7109375" style="789" customWidth="1"/>
    <col min="12010" max="12010" width="8" style="789" customWidth="1"/>
    <col min="12011" max="12011" width="10.28515625" style="789" customWidth="1"/>
    <col min="12012" max="12012" width="7.140625" style="789" customWidth="1"/>
    <col min="12013" max="12013" width="6.85546875" style="789" customWidth="1"/>
    <col min="12014" max="12014" width="11.7109375" style="789" customWidth="1"/>
    <col min="12015" max="12015" width="11.5703125" style="789" customWidth="1"/>
    <col min="12016" max="12016" width="9.140625" style="789"/>
    <col min="12017" max="12017" width="10.5703125" style="789" bestFit="1" customWidth="1"/>
    <col min="12018" max="12018" width="9.140625" style="789"/>
    <col min="12019" max="12019" width="12.140625" style="789" customWidth="1"/>
    <col min="12020" max="12261" width="9.140625" style="789"/>
    <col min="12262" max="12262" width="4" style="789" customWidth="1"/>
    <col min="12263" max="12263" width="10.5703125" style="789" customWidth="1"/>
    <col min="12264" max="12264" width="11.140625" style="789" customWidth="1"/>
    <col min="12265" max="12265" width="8.7109375" style="789" customWidth="1"/>
    <col min="12266" max="12266" width="8" style="789" customWidth="1"/>
    <col min="12267" max="12267" width="10.28515625" style="789" customWidth="1"/>
    <col min="12268" max="12268" width="7.140625" style="789" customWidth="1"/>
    <col min="12269" max="12269" width="6.85546875" style="789" customWidth="1"/>
    <col min="12270" max="12270" width="11.7109375" style="789" customWidth="1"/>
    <col min="12271" max="12271" width="11.5703125" style="789" customWidth="1"/>
    <col min="12272" max="12272" width="9.140625" style="789"/>
    <col min="12273" max="12273" width="10.5703125" style="789" bestFit="1" customWidth="1"/>
    <col min="12274" max="12274" width="9.140625" style="789"/>
    <col min="12275" max="12275" width="12.140625" style="789" customWidth="1"/>
    <col min="12276" max="12517" width="9.140625" style="789"/>
    <col min="12518" max="12518" width="4" style="789" customWidth="1"/>
    <col min="12519" max="12519" width="10.5703125" style="789" customWidth="1"/>
    <col min="12520" max="12520" width="11.140625" style="789" customWidth="1"/>
    <col min="12521" max="12521" width="8.7109375" style="789" customWidth="1"/>
    <col min="12522" max="12522" width="8" style="789" customWidth="1"/>
    <col min="12523" max="12523" width="10.28515625" style="789" customWidth="1"/>
    <col min="12524" max="12524" width="7.140625" style="789" customWidth="1"/>
    <col min="12525" max="12525" width="6.85546875" style="789" customWidth="1"/>
    <col min="12526" max="12526" width="11.7109375" style="789" customWidth="1"/>
    <col min="12527" max="12527" width="11.5703125" style="789" customWidth="1"/>
    <col min="12528" max="12528" width="9.140625" style="789"/>
    <col min="12529" max="12529" width="10.5703125" style="789" bestFit="1" customWidth="1"/>
    <col min="12530" max="12530" width="9.140625" style="789"/>
    <col min="12531" max="12531" width="12.140625" style="789" customWidth="1"/>
    <col min="12532" max="12773" width="9.140625" style="789"/>
    <col min="12774" max="12774" width="4" style="789" customWidth="1"/>
    <col min="12775" max="12775" width="10.5703125" style="789" customWidth="1"/>
    <col min="12776" max="12776" width="11.140625" style="789" customWidth="1"/>
    <col min="12777" max="12777" width="8.7109375" style="789" customWidth="1"/>
    <col min="12778" max="12778" width="8" style="789" customWidth="1"/>
    <col min="12779" max="12779" width="10.28515625" style="789" customWidth="1"/>
    <col min="12780" max="12780" width="7.140625" style="789" customWidth="1"/>
    <col min="12781" max="12781" width="6.85546875" style="789" customWidth="1"/>
    <col min="12782" max="12782" width="11.7109375" style="789" customWidth="1"/>
    <col min="12783" max="12783" width="11.5703125" style="789" customWidth="1"/>
    <col min="12784" max="12784" width="9.140625" style="789"/>
    <col min="12785" max="12785" width="10.5703125" style="789" bestFit="1" customWidth="1"/>
    <col min="12786" max="12786" width="9.140625" style="789"/>
    <col min="12787" max="12787" width="12.140625" style="789" customWidth="1"/>
    <col min="12788" max="13029" width="9.140625" style="789"/>
    <col min="13030" max="13030" width="4" style="789" customWidth="1"/>
    <col min="13031" max="13031" width="10.5703125" style="789" customWidth="1"/>
    <col min="13032" max="13032" width="11.140625" style="789" customWidth="1"/>
    <col min="13033" max="13033" width="8.7109375" style="789" customWidth="1"/>
    <col min="13034" max="13034" width="8" style="789" customWidth="1"/>
    <col min="13035" max="13035" width="10.28515625" style="789" customWidth="1"/>
    <col min="13036" max="13036" width="7.140625" style="789" customWidth="1"/>
    <col min="13037" max="13037" width="6.85546875" style="789" customWidth="1"/>
    <col min="13038" max="13038" width="11.7109375" style="789" customWidth="1"/>
    <col min="13039" max="13039" width="11.5703125" style="789" customWidth="1"/>
    <col min="13040" max="13040" width="9.140625" style="789"/>
    <col min="13041" max="13041" width="10.5703125" style="789" bestFit="1" customWidth="1"/>
    <col min="13042" max="13042" width="9.140625" style="789"/>
    <col min="13043" max="13043" width="12.140625" style="789" customWidth="1"/>
    <col min="13044" max="13285" width="9.140625" style="789"/>
    <col min="13286" max="13286" width="4" style="789" customWidth="1"/>
    <col min="13287" max="13287" width="10.5703125" style="789" customWidth="1"/>
    <col min="13288" max="13288" width="11.140625" style="789" customWidth="1"/>
    <col min="13289" max="13289" width="8.7109375" style="789" customWidth="1"/>
    <col min="13290" max="13290" width="8" style="789" customWidth="1"/>
    <col min="13291" max="13291" width="10.28515625" style="789" customWidth="1"/>
    <col min="13292" max="13292" width="7.140625" style="789" customWidth="1"/>
    <col min="13293" max="13293" width="6.85546875" style="789" customWidth="1"/>
    <col min="13294" max="13294" width="11.7109375" style="789" customWidth="1"/>
    <col min="13295" max="13295" width="11.5703125" style="789" customWidth="1"/>
    <col min="13296" max="13296" width="9.140625" style="789"/>
    <col min="13297" max="13297" width="10.5703125" style="789" bestFit="1" customWidth="1"/>
    <col min="13298" max="13298" width="9.140625" style="789"/>
    <col min="13299" max="13299" width="12.140625" style="789" customWidth="1"/>
    <col min="13300" max="13541" width="9.140625" style="789"/>
    <col min="13542" max="13542" width="4" style="789" customWidth="1"/>
    <col min="13543" max="13543" width="10.5703125" style="789" customWidth="1"/>
    <col min="13544" max="13544" width="11.140625" style="789" customWidth="1"/>
    <col min="13545" max="13545" width="8.7109375" style="789" customWidth="1"/>
    <col min="13546" max="13546" width="8" style="789" customWidth="1"/>
    <col min="13547" max="13547" width="10.28515625" style="789" customWidth="1"/>
    <col min="13548" max="13548" width="7.140625" style="789" customWidth="1"/>
    <col min="13549" max="13549" width="6.85546875" style="789" customWidth="1"/>
    <col min="13550" max="13550" width="11.7109375" style="789" customWidth="1"/>
    <col min="13551" max="13551" width="11.5703125" style="789" customWidth="1"/>
    <col min="13552" max="13552" width="9.140625" style="789"/>
    <col min="13553" max="13553" width="10.5703125" style="789" bestFit="1" customWidth="1"/>
    <col min="13554" max="13554" width="9.140625" style="789"/>
    <col min="13555" max="13555" width="12.140625" style="789" customWidth="1"/>
    <col min="13556" max="13797" width="9.140625" style="789"/>
    <col min="13798" max="13798" width="4" style="789" customWidth="1"/>
    <col min="13799" max="13799" width="10.5703125" style="789" customWidth="1"/>
    <col min="13800" max="13800" width="11.140625" style="789" customWidth="1"/>
    <col min="13801" max="13801" width="8.7109375" style="789" customWidth="1"/>
    <col min="13802" max="13802" width="8" style="789" customWidth="1"/>
    <col min="13803" max="13803" width="10.28515625" style="789" customWidth="1"/>
    <col min="13804" max="13804" width="7.140625" style="789" customWidth="1"/>
    <col min="13805" max="13805" width="6.85546875" style="789" customWidth="1"/>
    <col min="13806" max="13806" width="11.7109375" style="789" customWidth="1"/>
    <col min="13807" max="13807" width="11.5703125" style="789" customWidth="1"/>
    <col min="13808" max="13808" width="9.140625" style="789"/>
    <col min="13809" max="13809" width="10.5703125" style="789" bestFit="1" customWidth="1"/>
    <col min="13810" max="13810" width="9.140625" style="789"/>
    <col min="13811" max="13811" width="12.140625" style="789" customWidth="1"/>
    <col min="13812" max="14053" width="9.140625" style="789"/>
    <col min="14054" max="14054" width="4" style="789" customWidth="1"/>
    <col min="14055" max="14055" width="10.5703125" style="789" customWidth="1"/>
    <col min="14056" max="14056" width="11.140625" style="789" customWidth="1"/>
    <col min="14057" max="14057" width="8.7109375" style="789" customWidth="1"/>
    <col min="14058" max="14058" width="8" style="789" customWidth="1"/>
    <col min="14059" max="14059" width="10.28515625" style="789" customWidth="1"/>
    <col min="14060" max="14060" width="7.140625" style="789" customWidth="1"/>
    <col min="14061" max="14061" width="6.85546875" style="789" customWidth="1"/>
    <col min="14062" max="14062" width="11.7109375" style="789" customWidth="1"/>
    <col min="14063" max="14063" width="11.5703125" style="789" customWidth="1"/>
    <col min="14064" max="14064" width="9.140625" style="789"/>
    <col min="14065" max="14065" width="10.5703125" style="789" bestFit="1" customWidth="1"/>
    <col min="14066" max="14066" width="9.140625" style="789"/>
    <col min="14067" max="14067" width="12.140625" style="789" customWidth="1"/>
    <col min="14068" max="14309" width="9.140625" style="789"/>
    <col min="14310" max="14310" width="4" style="789" customWidth="1"/>
    <col min="14311" max="14311" width="10.5703125" style="789" customWidth="1"/>
    <col min="14312" max="14312" width="11.140625" style="789" customWidth="1"/>
    <col min="14313" max="14313" width="8.7109375" style="789" customWidth="1"/>
    <col min="14314" max="14314" width="8" style="789" customWidth="1"/>
    <col min="14315" max="14315" width="10.28515625" style="789" customWidth="1"/>
    <col min="14316" max="14316" width="7.140625" style="789" customWidth="1"/>
    <col min="14317" max="14317" width="6.85546875" style="789" customWidth="1"/>
    <col min="14318" max="14318" width="11.7109375" style="789" customWidth="1"/>
    <col min="14319" max="14319" width="11.5703125" style="789" customWidth="1"/>
    <col min="14320" max="14320" width="9.140625" style="789"/>
    <col min="14321" max="14321" width="10.5703125" style="789" bestFit="1" customWidth="1"/>
    <col min="14322" max="14322" width="9.140625" style="789"/>
    <col min="14323" max="14323" width="12.140625" style="789" customWidth="1"/>
    <col min="14324" max="14565" width="9.140625" style="789"/>
    <col min="14566" max="14566" width="4" style="789" customWidth="1"/>
    <col min="14567" max="14567" width="10.5703125" style="789" customWidth="1"/>
    <col min="14568" max="14568" width="11.140625" style="789" customWidth="1"/>
    <col min="14569" max="14569" width="8.7109375" style="789" customWidth="1"/>
    <col min="14570" max="14570" width="8" style="789" customWidth="1"/>
    <col min="14571" max="14571" width="10.28515625" style="789" customWidth="1"/>
    <col min="14572" max="14572" width="7.140625" style="789" customWidth="1"/>
    <col min="14573" max="14573" width="6.85546875" style="789" customWidth="1"/>
    <col min="14574" max="14574" width="11.7109375" style="789" customWidth="1"/>
    <col min="14575" max="14575" width="11.5703125" style="789" customWidth="1"/>
    <col min="14576" max="14576" width="9.140625" style="789"/>
    <col min="14577" max="14577" width="10.5703125" style="789" bestFit="1" customWidth="1"/>
    <col min="14578" max="14578" width="9.140625" style="789"/>
    <col min="14579" max="14579" width="12.140625" style="789" customWidth="1"/>
    <col min="14580" max="14821" width="9.140625" style="789"/>
    <col min="14822" max="14822" width="4" style="789" customWidth="1"/>
    <col min="14823" max="14823" width="10.5703125" style="789" customWidth="1"/>
    <col min="14824" max="14824" width="11.140625" style="789" customWidth="1"/>
    <col min="14825" max="14825" width="8.7109375" style="789" customWidth="1"/>
    <col min="14826" max="14826" width="8" style="789" customWidth="1"/>
    <col min="14827" max="14827" width="10.28515625" style="789" customWidth="1"/>
    <col min="14828" max="14828" width="7.140625" style="789" customWidth="1"/>
    <col min="14829" max="14829" width="6.85546875" style="789" customWidth="1"/>
    <col min="14830" max="14830" width="11.7109375" style="789" customWidth="1"/>
    <col min="14831" max="14831" width="11.5703125" style="789" customWidth="1"/>
    <col min="14832" max="14832" width="9.140625" style="789"/>
    <col min="14833" max="14833" width="10.5703125" style="789" bestFit="1" customWidth="1"/>
    <col min="14834" max="14834" width="9.140625" style="789"/>
    <col min="14835" max="14835" width="12.140625" style="789" customWidth="1"/>
    <col min="14836" max="15077" width="9.140625" style="789"/>
    <col min="15078" max="15078" width="4" style="789" customWidth="1"/>
    <col min="15079" max="15079" width="10.5703125" style="789" customWidth="1"/>
    <col min="15080" max="15080" width="11.140625" style="789" customWidth="1"/>
    <col min="15081" max="15081" width="8.7109375" style="789" customWidth="1"/>
    <col min="15082" max="15082" width="8" style="789" customWidth="1"/>
    <col min="15083" max="15083" width="10.28515625" style="789" customWidth="1"/>
    <col min="15084" max="15084" width="7.140625" style="789" customWidth="1"/>
    <col min="15085" max="15085" width="6.85546875" style="789" customWidth="1"/>
    <col min="15086" max="15086" width="11.7109375" style="789" customWidth="1"/>
    <col min="15087" max="15087" width="11.5703125" style="789" customWidth="1"/>
    <col min="15088" max="15088" width="9.140625" style="789"/>
    <col min="15089" max="15089" width="10.5703125" style="789" bestFit="1" customWidth="1"/>
    <col min="15090" max="15090" width="9.140625" style="789"/>
    <col min="15091" max="15091" width="12.140625" style="789" customWidth="1"/>
    <col min="15092" max="15333" width="9.140625" style="789"/>
    <col min="15334" max="15334" width="4" style="789" customWidth="1"/>
    <col min="15335" max="15335" width="10.5703125" style="789" customWidth="1"/>
    <col min="15336" max="15336" width="11.140625" style="789" customWidth="1"/>
    <col min="15337" max="15337" width="8.7109375" style="789" customWidth="1"/>
    <col min="15338" max="15338" width="8" style="789" customWidth="1"/>
    <col min="15339" max="15339" width="10.28515625" style="789" customWidth="1"/>
    <col min="15340" max="15340" width="7.140625" style="789" customWidth="1"/>
    <col min="15341" max="15341" width="6.85546875" style="789" customWidth="1"/>
    <col min="15342" max="15342" width="11.7109375" style="789" customWidth="1"/>
    <col min="15343" max="15343" width="11.5703125" style="789" customWidth="1"/>
    <col min="15344" max="15344" width="9.140625" style="789"/>
    <col min="15345" max="15345" width="10.5703125" style="789" bestFit="1" customWidth="1"/>
    <col min="15346" max="15346" width="9.140625" style="789"/>
    <col min="15347" max="15347" width="12.140625" style="789" customWidth="1"/>
    <col min="15348" max="15589" width="9.140625" style="789"/>
    <col min="15590" max="15590" width="4" style="789" customWidth="1"/>
    <col min="15591" max="15591" width="10.5703125" style="789" customWidth="1"/>
    <col min="15592" max="15592" width="11.140625" style="789" customWidth="1"/>
    <col min="15593" max="15593" width="8.7109375" style="789" customWidth="1"/>
    <col min="15594" max="15594" width="8" style="789" customWidth="1"/>
    <col min="15595" max="15595" width="10.28515625" style="789" customWidth="1"/>
    <col min="15596" max="15596" width="7.140625" style="789" customWidth="1"/>
    <col min="15597" max="15597" width="6.85546875" style="789" customWidth="1"/>
    <col min="15598" max="15598" width="11.7109375" style="789" customWidth="1"/>
    <col min="15599" max="15599" width="11.5703125" style="789" customWidth="1"/>
    <col min="15600" max="15600" width="9.140625" style="789"/>
    <col min="15601" max="15601" width="10.5703125" style="789" bestFit="1" customWidth="1"/>
    <col min="15602" max="15602" width="9.140625" style="789"/>
    <col min="15603" max="15603" width="12.140625" style="789" customWidth="1"/>
    <col min="15604" max="15845" width="9.140625" style="789"/>
    <col min="15846" max="15846" width="4" style="789" customWidth="1"/>
    <col min="15847" max="15847" width="10.5703125" style="789" customWidth="1"/>
    <col min="15848" max="15848" width="11.140625" style="789" customWidth="1"/>
    <col min="15849" max="15849" width="8.7109375" style="789" customWidth="1"/>
    <col min="15850" max="15850" width="8" style="789" customWidth="1"/>
    <col min="15851" max="15851" width="10.28515625" style="789" customWidth="1"/>
    <col min="15852" max="15852" width="7.140625" style="789" customWidth="1"/>
    <col min="15853" max="15853" width="6.85546875" style="789" customWidth="1"/>
    <col min="15854" max="15854" width="11.7109375" style="789" customWidth="1"/>
    <col min="15855" max="15855" width="11.5703125" style="789" customWidth="1"/>
    <col min="15856" max="15856" width="9.140625" style="789"/>
    <col min="15857" max="15857" width="10.5703125" style="789" bestFit="1" customWidth="1"/>
    <col min="15858" max="15858" width="9.140625" style="789"/>
    <col min="15859" max="15859" width="12.140625" style="789" customWidth="1"/>
    <col min="15860" max="16101" width="9.140625" style="789"/>
    <col min="16102" max="16102" width="4" style="789" customWidth="1"/>
    <col min="16103" max="16103" width="10.5703125" style="789" customWidth="1"/>
    <col min="16104" max="16104" width="11.140625" style="789" customWidth="1"/>
    <col min="16105" max="16105" width="8.7109375" style="789" customWidth="1"/>
    <col min="16106" max="16106" width="8" style="789" customWidth="1"/>
    <col min="16107" max="16107" width="10.28515625" style="789" customWidth="1"/>
    <col min="16108" max="16108" width="7.140625" style="789" customWidth="1"/>
    <col min="16109" max="16109" width="6.85546875" style="789" customWidth="1"/>
    <col min="16110" max="16110" width="11.7109375" style="789" customWidth="1"/>
    <col min="16111" max="16111" width="11.5703125" style="789" customWidth="1"/>
    <col min="16112" max="16112" width="9.140625" style="789"/>
    <col min="16113" max="16113" width="10.5703125" style="789" bestFit="1" customWidth="1"/>
    <col min="16114" max="16114" width="9.140625" style="789"/>
    <col min="16115" max="16115" width="12.140625" style="789" customWidth="1"/>
    <col min="16116" max="16384" width="9.140625" style="789"/>
  </cols>
  <sheetData>
    <row r="1" spans="1:11" x14ac:dyDescent="0.25">
      <c r="A1" s="1201" t="s">
        <v>153</v>
      </c>
      <c r="B1" s="1201"/>
      <c r="C1" s="1201"/>
      <c r="D1" s="1201"/>
      <c r="E1" s="1201"/>
      <c r="F1" s="1201"/>
      <c r="G1" s="1201"/>
      <c r="H1" s="1201"/>
      <c r="I1" s="1201"/>
    </row>
    <row r="3" spans="1:11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201"/>
    </row>
    <row r="4" spans="1:11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202"/>
    </row>
    <row r="5" spans="1:11" ht="15" customHeight="1" x14ac:dyDescent="0.25">
      <c r="A5" s="735"/>
      <c r="B5" s="735"/>
      <c r="C5" s="735"/>
      <c r="D5" s="735"/>
      <c r="E5" s="735"/>
      <c r="F5" s="735"/>
      <c r="G5" s="735"/>
      <c r="H5" s="735"/>
      <c r="I5" s="202"/>
    </row>
    <row r="6" spans="1:11" x14ac:dyDescent="0.25">
      <c r="A6" s="1201" t="s">
        <v>835</v>
      </c>
      <c r="B6" s="1201"/>
      <c r="C6" s="1201"/>
      <c r="D6" s="1201"/>
      <c r="E6" s="1201"/>
      <c r="F6" s="1201"/>
      <c r="G6" s="1201"/>
      <c r="H6" s="1201"/>
      <c r="I6" s="1201"/>
      <c r="J6" s="820"/>
      <c r="K6" s="820"/>
    </row>
    <row r="7" spans="1:11" x14ac:dyDescent="0.25">
      <c r="A7" s="1155" t="s">
        <v>437</v>
      </c>
      <c r="B7" s="1155"/>
      <c r="C7" s="1155"/>
      <c r="D7" s="1155"/>
      <c r="E7" s="1155"/>
      <c r="F7" s="1155"/>
      <c r="G7" s="1155"/>
      <c r="H7" s="1155"/>
      <c r="I7" s="1155"/>
    </row>
    <row r="8" spans="1:11" ht="30" customHeight="1" x14ac:dyDescent="0.25">
      <c r="A8" s="727" t="s">
        <v>258</v>
      </c>
      <c r="B8" s="733" t="s">
        <v>492</v>
      </c>
      <c r="C8" s="746" t="s">
        <v>343</v>
      </c>
      <c r="D8" s="727" t="s">
        <v>389</v>
      </c>
      <c r="E8" s="727" t="s">
        <v>410</v>
      </c>
      <c r="F8" s="739" t="s">
        <v>496</v>
      </c>
      <c r="G8" s="727" t="s">
        <v>438</v>
      </c>
      <c r="H8" s="254" t="s">
        <v>467</v>
      </c>
      <c r="I8" s="727" t="s">
        <v>402</v>
      </c>
    </row>
    <row r="9" spans="1:11" x14ac:dyDescent="0.25">
      <c r="A9" s="728">
        <v>1</v>
      </c>
      <c r="B9" s="740">
        <v>2</v>
      </c>
      <c r="C9" s="728">
        <v>3</v>
      </c>
      <c r="D9" s="728">
        <v>4</v>
      </c>
      <c r="E9" s="728">
        <v>5</v>
      </c>
      <c r="F9" s="740">
        <v>6</v>
      </c>
      <c r="G9" s="728">
        <v>7</v>
      </c>
      <c r="H9" s="762">
        <v>8</v>
      </c>
      <c r="I9" s="728">
        <v>9</v>
      </c>
    </row>
    <row r="10" spans="1:11" x14ac:dyDescent="0.25">
      <c r="A10" s="1195">
        <v>2</v>
      </c>
      <c r="B10" s="1197" t="s">
        <v>468</v>
      </c>
      <c r="C10" s="1199">
        <v>223</v>
      </c>
      <c r="D10" s="1199">
        <v>721</v>
      </c>
      <c r="E10" s="1199" t="s">
        <v>439</v>
      </c>
      <c r="F10" s="738">
        <v>173.6</v>
      </c>
      <c r="G10" s="738">
        <v>1389.42</v>
      </c>
      <c r="H10" s="263">
        <f t="shared" ref="H10:H19" si="0">F10*G10</f>
        <v>241203.31200000001</v>
      </c>
      <c r="I10" s="1193">
        <f>ROUND((H10+H11)/1000,1)</f>
        <v>435.3</v>
      </c>
      <c r="J10" s="505"/>
    </row>
    <row r="11" spans="1:11" x14ac:dyDescent="0.25">
      <c r="A11" s="1196"/>
      <c r="B11" s="1198"/>
      <c r="C11" s="1200"/>
      <c r="D11" s="1200"/>
      <c r="E11" s="1200"/>
      <c r="F11" s="738">
        <v>136.4</v>
      </c>
      <c r="G11" s="738">
        <v>1422.77</v>
      </c>
      <c r="H11" s="263">
        <f t="shared" si="0"/>
        <v>194065.82800000001</v>
      </c>
      <c r="I11" s="1194"/>
      <c r="J11" s="505"/>
    </row>
    <row r="12" spans="1:11" ht="15" customHeight="1" x14ac:dyDescent="0.25">
      <c r="A12" s="1172">
        <v>3</v>
      </c>
      <c r="B12" s="1167" t="s">
        <v>764</v>
      </c>
      <c r="C12" s="1159">
        <v>223</v>
      </c>
      <c r="D12" s="1189">
        <v>721</v>
      </c>
      <c r="E12" s="1189" t="s">
        <v>439</v>
      </c>
      <c r="F12" s="737">
        <v>67.2</v>
      </c>
      <c r="G12" s="685">
        <f>ROUND(14065.72*1.2,2)</f>
        <v>16878.86</v>
      </c>
      <c r="H12" s="260">
        <f t="shared" si="0"/>
        <v>1134259.392</v>
      </c>
      <c r="I12" s="1190">
        <f>ROUND((H12+H13)/1000,1)</f>
        <v>2058</v>
      </c>
      <c r="J12" s="505"/>
    </row>
    <row r="13" spans="1:11" s="865" customFormat="1" x14ac:dyDescent="0.25">
      <c r="A13" s="1172"/>
      <c r="B13" s="1167"/>
      <c r="C13" s="1159"/>
      <c r="D13" s="1189"/>
      <c r="E13" s="1189"/>
      <c r="F13" s="737">
        <v>52.8</v>
      </c>
      <c r="G13" s="685">
        <v>17494.939999999999</v>
      </c>
      <c r="H13" s="260">
        <f t="shared" si="0"/>
        <v>923732.83199999994</v>
      </c>
      <c r="I13" s="1191"/>
      <c r="J13" s="505"/>
    </row>
    <row r="14" spans="1:11" x14ac:dyDescent="0.25">
      <c r="A14" s="1172">
        <v>4</v>
      </c>
      <c r="B14" s="1167" t="s">
        <v>795</v>
      </c>
      <c r="C14" s="1159">
        <v>223</v>
      </c>
      <c r="D14" s="1189">
        <v>730</v>
      </c>
      <c r="E14" s="1189" t="s">
        <v>469</v>
      </c>
      <c r="F14" s="737">
        <v>4050</v>
      </c>
      <c r="G14" s="685">
        <v>52.94</v>
      </c>
      <c r="H14" s="260">
        <f t="shared" si="0"/>
        <v>214407</v>
      </c>
      <c r="I14" s="1190">
        <f>ROUND((H14+H15)/1000,1)</f>
        <v>408.4</v>
      </c>
      <c r="J14" s="505"/>
    </row>
    <row r="15" spans="1:11" x14ac:dyDescent="0.25">
      <c r="A15" s="1172"/>
      <c r="B15" s="1167"/>
      <c r="C15" s="1159"/>
      <c r="D15" s="1189"/>
      <c r="E15" s="1189"/>
      <c r="F15" s="737">
        <v>3450</v>
      </c>
      <c r="G15" s="685">
        <v>56.23</v>
      </c>
      <c r="H15" s="260">
        <f t="shared" si="0"/>
        <v>193993.5</v>
      </c>
      <c r="I15" s="1191"/>
      <c r="J15" s="505"/>
    </row>
    <row r="16" spans="1:11" ht="15" customHeight="1" x14ac:dyDescent="0.25">
      <c r="A16" s="1172">
        <v>5</v>
      </c>
      <c r="B16" s="1167" t="s">
        <v>765</v>
      </c>
      <c r="C16" s="1159">
        <v>223</v>
      </c>
      <c r="D16" s="1189">
        <v>740</v>
      </c>
      <c r="E16" s="1189" t="s">
        <v>440</v>
      </c>
      <c r="F16" s="737">
        <v>6.63</v>
      </c>
      <c r="G16" s="685">
        <v>4073.03</v>
      </c>
      <c r="H16" s="260">
        <f t="shared" si="0"/>
        <v>27004.188900000001</v>
      </c>
      <c r="I16" s="1190">
        <f>ROUND((H16+H17)/1000,1)</f>
        <v>48.6</v>
      </c>
      <c r="J16" s="505"/>
    </row>
    <row r="17" spans="1:17" x14ac:dyDescent="0.25">
      <c r="A17" s="1172"/>
      <c r="B17" s="1167"/>
      <c r="C17" s="1159"/>
      <c r="D17" s="1189"/>
      <c r="E17" s="1189"/>
      <c r="F17" s="737">
        <v>5.21</v>
      </c>
      <c r="G17" s="656">
        <v>4154</v>
      </c>
      <c r="H17" s="260">
        <f t="shared" si="0"/>
        <v>21642.34</v>
      </c>
      <c r="I17" s="1191"/>
      <c r="J17" s="505"/>
    </row>
    <row r="18" spans="1:17" ht="15" customHeight="1" x14ac:dyDescent="0.25">
      <c r="A18" s="1172">
        <v>6</v>
      </c>
      <c r="B18" s="1167" t="s">
        <v>766</v>
      </c>
      <c r="C18" s="1159">
        <v>223</v>
      </c>
      <c r="D18" s="1189">
        <v>740</v>
      </c>
      <c r="E18" s="1189" t="s">
        <v>440</v>
      </c>
      <c r="F18" s="737">
        <v>6.63</v>
      </c>
      <c r="G18" s="685">
        <v>31.26</v>
      </c>
      <c r="H18" s="260">
        <f t="shared" si="0"/>
        <v>207.25380000000001</v>
      </c>
      <c r="I18" s="1190">
        <f>ROUND((H18+H19)/1000,1)</f>
        <v>0.4</v>
      </c>
      <c r="J18" s="505"/>
    </row>
    <row r="19" spans="1:17" x14ac:dyDescent="0.25">
      <c r="A19" s="1172"/>
      <c r="B19" s="1167"/>
      <c r="C19" s="1159"/>
      <c r="D19" s="1189"/>
      <c r="E19" s="1189"/>
      <c r="F19" s="737">
        <v>5.21</v>
      </c>
      <c r="G19" s="656">
        <v>32.6</v>
      </c>
      <c r="H19" s="260">
        <f t="shared" si="0"/>
        <v>169.846</v>
      </c>
      <c r="I19" s="1191"/>
      <c r="J19" s="505"/>
    </row>
    <row r="20" spans="1:17" x14ac:dyDescent="0.25">
      <c r="A20" s="1202" t="s">
        <v>495</v>
      </c>
      <c r="B20" s="1202"/>
      <c r="C20" s="1202"/>
      <c r="D20" s="1202"/>
      <c r="E20" s="1202"/>
      <c r="F20" s="1202"/>
      <c r="G20" s="1202"/>
      <c r="H20" s="264">
        <f>SUM(H12:H19)</f>
        <v>2515416.3526999997</v>
      </c>
      <c r="I20" s="295">
        <f>SUM(I12:I19)</f>
        <v>2515.4</v>
      </c>
      <c r="J20" s="262"/>
    </row>
    <row r="21" spans="1:17" x14ac:dyDescent="0.25">
      <c r="A21" s="1202" t="s">
        <v>441</v>
      </c>
      <c r="B21" s="1202"/>
      <c r="C21" s="1202"/>
      <c r="D21" s="1202"/>
      <c r="E21" s="1202"/>
      <c r="F21" s="1202"/>
      <c r="G21" s="1202"/>
      <c r="H21" s="866"/>
      <c r="I21" s="295">
        <f>SUM(I10:I19)</f>
        <v>2950.7000000000003</v>
      </c>
    </row>
    <row r="22" spans="1:17" ht="15.75" customHeight="1" x14ac:dyDescent="0.25"/>
    <row r="23" spans="1:17" x14ac:dyDescent="0.25">
      <c r="A23" s="1185" t="s">
        <v>797</v>
      </c>
      <c r="B23" s="1185"/>
      <c r="C23" s="1185"/>
      <c r="D23" s="1185"/>
      <c r="E23" s="1185"/>
      <c r="F23" s="1185"/>
      <c r="G23" s="203"/>
      <c r="H23" s="203"/>
      <c r="I23" s="203"/>
      <c r="J23" s="203"/>
      <c r="K23" s="203"/>
      <c r="L23" s="1182" t="s">
        <v>878</v>
      </c>
      <c r="M23" s="1182"/>
      <c r="N23" s="1182"/>
      <c r="O23" s="1182"/>
      <c r="P23" s="1182"/>
      <c r="Q23" s="1182"/>
    </row>
    <row r="24" spans="1:17" ht="24" x14ac:dyDescent="0.25">
      <c r="A24" s="254" t="s">
        <v>258</v>
      </c>
      <c r="B24" s="254" t="s">
        <v>491</v>
      </c>
      <c r="C24" s="254" t="s">
        <v>343</v>
      </c>
      <c r="D24" s="254" t="s">
        <v>798</v>
      </c>
      <c r="E24" s="254" t="s">
        <v>799</v>
      </c>
      <c r="F24" s="254" t="s">
        <v>800</v>
      </c>
      <c r="G24" s="203"/>
      <c r="H24" s="203"/>
      <c r="I24" s="203"/>
      <c r="J24" s="203"/>
      <c r="K24" s="203"/>
      <c r="L24" s="1183"/>
      <c r="M24" s="822" t="s">
        <v>558</v>
      </c>
      <c r="N24" s="822" t="s">
        <v>631</v>
      </c>
      <c r="O24" s="822" t="s">
        <v>632</v>
      </c>
      <c r="P24" s="822" t="s">
        <v>633</v>
      </c>
      <c r="Q24" s="822" t="s">
        <v>634</v>
      </c>
    </row>
    <row r="25" spans="1:17" x14ac:dyDescent="0.25">
      <c r="A25" s="762">
        <v>1</v>
      </c>
      <c r="B25" s="762">
        <v>2</v>
      </c>
      <c r="C25" s="762">
        <v>3</v>
      </c>
      <c r="D25" s="762">
        <v>4</v>
      </c>
      <c r="E25" s="762">
        <v>5</v>
      </c>
      <c r="F25" s="762">
        <v>6</v>
      </c>
      <c r="G25" s="203"/>
      <c r="H25" s="203"/>
      <c r="I25" s="203"/>
      <c r="J25" s="203"/>
      <c r="K25" s="203"/>
      <c r="L25" s="1184"/>
      <c r="M25" s="823">
        <f>SUM(N25:Q25)</f>
        <v>3229000</v>
      </c>
      <c r="N25" s="773">
        <f>SUM(N26:N27)</f>
        <v>736300</v>
      </c>
      <c r="O25" s="773">
        <f t="shared" ref="O25:Q25" si="1">SUM(O26:O27)</f>
        <v>1031700</v>
      </c>
      <c r="P25" s="773">
        <f t="shared" si="1"/>
        <v>724700</v>
      </c>
      <c r="Q25" s="773">
        <f t="shared" si="1"/>
        <v>736300</v>
      </c>
    </row>
    <row r="26" spans="1:17" ht="26.25" customHeight="1" x14ac:dyDescent="0.25">
      <c r="A26" s="771">
        <v>1</v>
      </c>
      <c r="B26" s="775" t="s">
        <v>468</v>
      </c>
      <c r="C26" s="758">
        <v>223</v>
      </c>
      <c r="D26" s="771">
        <v>721</v>
      </c>
      <c r="E26" s="772">
        <f>434300+200000+56512</f>
        <v>690812</v>
      </c>
      <c r="F26" s="921">
        <f>ROUND(E26/1000,1)</f>
        <v>690.8</v>
      </c>
      <c r="G26" s="203"/>
      <c r="H26" s="203"/>
      <c r="I26" s="203"/>
      <c r="J26" s="203"/>
      <c r="K26" s="203"/>
      <c r="L26" s="824" t="s">
        <v>802</v>
      </c>
      <c r="M26" s="483">
        <f>SUM(N26:Q26)</f>
        <v>692721</v>
      </c>
      <c r="N26" s="925">
        <v>167600</v>
      </c>
      <c r="O26" s="925">
        <v>181250</v>
      </c>
      <c r="P26" s="925">
        <v>40400</v>
      </c>
      <c r="Q26" s="925">
        <f>47050+201000+55421</f>
        <v>303471</v>
      </c>
    </row>
    <row r="27" spans="1:17" ht="26.25" customHeight="1" x14ac:dyDescent="0.25">
      <c r="A27" s="771">
        <v>2</v>
      </c>
      <c r="B27" s="775" t="s">
        <v>879</v>
      </c>
      <c r="C27" s="758">
        <v>223</v>
      </c>
      <c r="D27" s="771">
        <v>730</v>
      </c>
      <c r="E27" s="772">
        <f>1000+500+270</f>
        <v>1770</v>
      </c>
      <c r="F27" s="921">
        <f>ROUND(E27/1000,1)</f>
        <v>1.8</v>
      </c>
      <c r="G27" s="203"/>
      <c r="H27" s="203"/>
      <c r="I27" s="203"/>
      <c r="J27" s="203"/>
      <c r="K27" s="203"/>
      <c r="L27" s="824" t="s">
        <v>803</v>
      </c>
      <c r="M27" s="483">
        <f>SUM(N27:Q27)</f>
        <v>2536279</v>
      </c>
      <c r="N27" s="925">
        <v>568700</v>
      </c>
      <c r="O27" s="925">
        <v>850450</v>
      </c>
      <c r="P27" s="925">
        <v>684300</v>
      </c>
      <c r="Q27" s="925">
        <f>689250-201000-55421</f>
        <v>432829</v>
      </c>
    </row>
    <row r="28" spans="1:17" ht="26.25" customHeight="1" x14ac:dyDescent="0.25">
      <c r="A28" s="771">
        <v>3</v>
      </c>
      <c r="B28" s="775" t="s">
        <v>914</v>
      </c>
      <c r="C28" s="758">
        <v>223</v>
      </c>
      <c r="D28" s="771">
        <v>740</v>
      </c>
      <c r="E28" s="772">
        <f>1000+500-1361</f>
        <v>139</v>
      </c>
      <c r="F28" s="921">
        <f>ROUND(E28/1000,1)</f>
        <v>0.1</v>
      </c>
      <c r="G28" s="203"/>
      <c r="H28" s="203"/>
      <c r="I28" s="203"/>
      <c r="J28" s="203"/>
      <c r="K28" s="203"/>
      <c r="L28" s="961"/>
      <c r="M28" s="962"/>
      <c r="N28" s="963"/>
      <c r="O28" s="963"/>
      <c r="P28" s="963"/>
      <c r="Q28" s="963"/>
    </row>
    <row r="29" spans="1:17" ht="26.25" customHeight="1" x14ac:dyDescent="0.25">
      <c r="A29" s="762">
        <v>4</v>
      </c>
      <c r="B29" s="567" t="s">
        <v>764</v>
      </c>
      <c r="C29" s="972">
        <v>223</v>
      </c>
      <c r="D29" s="762">
        <v>721</v>
      </c>
      <c r="E29" s="759">
        <f>2323500-200000-174071</f>
        <v>1949429</v>
      </c>
      <c r="F29" s="922">
        <f t="shared" ref="F29:F32" si="2">ROUND(E29/1000,1)</f>
        <v>1949.4</v>
      </c>
      <c r="G29" s="774"/>
      <c r="H29" s="203"/>
      <c r="I29" s="203"/>
      <c r="J29" s="203"/>
      <c r="K29" s="203"/>
      <c r="L29" s="203"/>
      <c r="M29" s="203"/>
      <c r="N29" s="203"/>
      <c r="O29" s="203"/>
      <c r="P29" s="203"/>
      <c r="Q29" s="203"/>
    </row>
    <row r="30" spans="1:17" ht="26.25" customHeight="1" x14ac:dyDescent="0.25">
      <c r="A30" s="762">
        <v>5</v>
      </c>
      <c r="B30" s="567" t="s">
        <v>795</v>
      </c>
      <c r="C30" s="972">
        <v>223</v>
      </c>
      <c r="D30" s="972">
        <v>730</v>
      </c>
      <c r="E30" s="759">
        <f>372065-500+70660</f>
        <v>442225</v>
      </c>
      <c r="F30" s="922">
        <f t="shared" si="2"/>
        <v>442.2</v>
      </c>
      <c r="G30" s="774"/>
      <c r="H30" s="203"/>
      <c r="I30" s="203"/>
      <c r="J30" s="203"/>
      <c r="K30" s="203"/>
      <c r="L30" s="203"/>
      <c r="M30" s="203"/>
      <c r="N30" s="210"/>
      <c r="O30" s="210"/>
      <c r="P30" s="210"/>
      <c r="Q30" s="210"/>
    </row>
    <row r="31" spans="1:17" ht="26.25" customHeight="1" x14ac:dyDescent="0.25">
      <c r="A31" s="762">
        <v>6</v>
      </c>
      <c r="B31" s="567" t="s">
        <v>765</v>
      </c>
      <c r="C31" s="972">
        <v>223</v>
      </c>
      <c r="D31" s="972">
        <v>740</v>
      </c>
      <c r="E31" s="759">
        <f>86135-500+47305</f>
        <v>132940</v>
      </c>
      <c r="F31" s="922">
        <f t="shared" si="2"/>
        <v>132.9</v>
      </c>
      <c r="G31" s="774"/>
      <c r="H31" s="203"/>
      <c r="I31" s="203"/>
      <c r="J31" s="203"/>
      <c r="K31" s="203"/>
      <c r="L31" s="203"/>
      <c r="M31" s="203"/>
      <c r="N31" s="203"/>
      <c r="O31" s="203"/>
      <c r="P31" s="203"/>
      <c r="Q31" s="203"/>
    </row>
    <row r="32" spans="1:17" ht="26.25" customHeight="1" x14ac:dyDescent="0.25">
      <c r="A32" s="249">
        <v>7</v>
      </c>
      <c r="B32" s="599" t="s">
        <v>766</v>
      </c>
      <c r="C32" s="972">
        <v>223</v>
      </c>
      <c r="D32" s="972">
        <v>740</v>
      </c>
      <c r="E32" s="769">
        <f>380+10620+685</f>
        <v>11685</v>
      </c>
      <c r="F32" s="922">
        <f t="shared" si="2"/>
        <v>11.7</v>
      </c>
      <c r="G32" s="774"/>
      <c r="H32" s="203"/>
      <c r="I32" s="203"/>
      <c r="J32" s="203"/>
      <c r="K32" s="203"/>
      <c r="L32" s="203"/>
      <c r="M32" s="203"/>
      <c r="N32" s="203"/>
      <c r="O32" s="203"/>
      <c r="P32" s="203"/>
      <c r="Q32" s="203"/>
    </row>
    <row r="33" spans="1:17" ht="15.75" customHeight="1" x14ac:dyDescent="0.25">
      <c r="A33" s="1186" t="s">
        <v>804</v>
      </c>
      <c r="B33" s="1187"/>
      <c r="C33" s="1187"/>
      <c r="D33" s="1188"/>
      <c r="E33" s="770">
        <f>SUM(E26:E28)</f>
        <v>692721</v>
      </c>
      <c r="F33" s="923">
        <f>SUM(F26:F28)</f>
        <v>692.69999999999993</v>
      </c>
      <c r="G33" s="774"/>
      <c r="H33" s="203"/>
      <c r="I33" s="203"/>
      <c r="J33" s="203"/>
      <c r="K33" s="203"/>
      <c r="L33" s="203"/>
      <c r="M33" s="203"/>
      <c r="N33" s="203"/>
      <c r="O33" s="203"/>
      <c r="P33" s="203"/>
      <c r="Q33" s="203"/>
    </row>
    <row r="34" spans="1:17" x14ac:dyDescent="0.25">
      <c r="A34" s="1186" t="s">
        <v>801</v>
      </c>
      <c r="B34" s="1187"/>
      <c r="C34" s="1187"/>
      <c r="D34" s="1188"/>
      <c r="E34" s="770">
        <f>SUM(E26:E32)</f>
        <v>3229000</v>
      </c>
      <c r="F34" s="924">
        <f>SUM(F26:F32)</f>
        <v>3228.8999999999996</v>
      </c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</row>
    <row r="35" spans="1:17" ht="15" customHeight="1" x14ac:dyDescent="0.25">
      <c r="A35" s="821"/>
      <c r="B35" s="821"/>
      <c r="C35" s="821"/>
      <c r="D35" s="821"/>
      <c r="E35" s="821"/>
      <c r="F35" s="821"/>
      <c r="G35" s="821"/>
      <c r="H35" s="867"/>
      <c r="I35" s="504"/>
    </row>
    <row r="36" spans="1:17" ht="15" customHeight="1" x14ac:dyDescent="0.25">
      <c r="A36" s="735"/>
      <c r="B36" s="735"/>
      <c r="C36" s="735"/>
      <c r="D36" s="735"/>
      <c r="E36" s="735"/>
      <c r="F36" s="735"/>
      <c r="G36" s="735"/>
      <c r="H36" s="735"/>
      <c r="I36" s="202"/>
    </row>
    <row r="37" spans="1:17" x14ac:dyDescent="0.25">
      <c r="A37" s="1201" t="s">
        <v>825</v>
      </c>
      <c r="B37" s="1201"/>
      <c r="C37" s="1201"/>
      <c r="D37" s="1201"/>
      <c r="E37" s="1201"/>
      <c r="F37" s="1201"/>
      <c r="G37" s="1201"/>
      <c r="H37" s="1201"/>
      <c r="I37" s="1201"/>
      <c r="J37" s="820"/>
      <c r="K37" s="820"/>
    </row>
    <row r="38" spans="1:17" ht="15" customHeight="1" x14ac:dyDescent="0.25">
      <c r="A38" s="1145" t="s">
        <v>399</v>
      </c>
      <c r="B38" s="1145"/>
      <c r="C38" s="1145"/>
      <c r="D38" s="1145"/>
      <c r="E38" s="1145"/>
      <c r="F38" s="1145"/>
      <c r="G38" s="1145"/>
      <c r="H38" s="1145"/>
      <c r="I38" s="1145"/>
    </row>
    <row r="39" spans="1:17" ht="24" customHeight="1" x14ac:dyDescent="0.25">
      <c r="A39" s="733" t="s">
        <v>258</v>
      </c>
      <c r="B39" s="733" t="s">
        <v>492</v>
      </c>
      <c r="C39" s="731" t="s">
        <v>343</v>
      </c>
      <c r="D39" s="733" t="s">
        <v>389</v>
      </c>
      <c r="E39" s="733" t="s">
        <v>445</v>
      </c>
      <c r="F39" s="1159" t="s">
        <v>505</v>
      </c>
      <c r="G39" s="1159"/>
      <c r="H39" s="764" t="s">
        <v>467</v>
      </c>
      <c r="I39" s="733" t="s">
        <v>402</v>
      </c>
    </row>
    <row r="40" spans="1:17" ht="15" customHeight="1" x14ac:dyDescent="0.25">
      <c r="A40" s="728">
        <v>1</v>
      </c>
      <c r="B40" s="728">
        <v>2</v>
      </c>
      <c r="C40" s="728">
        <v>3</v>
      </c>
      <c r="D40" s="728">
        <v>4</v>
      </c>
      <c r="E40" s="728">
        <v>5</v>
      </c>
      <c r="F40" s="1172">
        <v>6</v>
      </c>
      <c r="G40" s="1172"/>
      <c r="H40" s="765">
        <v>7</v>
      </c>
      <c r="I40" s="728">
        <v>8</v>
      </c>
    </row>
    <row r="41" spans="1:17" ht="24" x14ac:dyDescent="0.25">
      <c r="A41" s="728">
        <v>1</v>
      </c>
      <c r="B41" s="734" t="s">
        <v>497</v>
      </c>
      <c r="C41" s="733">
        <v>221</v>
      </c>
      <c r="D41" s="731"/>
      <c r="E41" s="762">
        <v>12</v>
      </c>
      <c r="F41" s="1255">
        <v>2880</v>
      </c>
      <c r="G41" s="1255"/>
      <c r="H41" s="292">
        <f>F41*E41</f>
        <v>34560</v>
      </c>
      <c r="I41" s="283">
        <f>ROUND((F41*E41)/1000,1)</f>
        <v>34.6</v>
      </c>
    </row>
    <row r="42" spans="1:17" ht="15" customHeight="1" x14ac:dyDescent="0.25">
      <c r="A42" s="1223" t="s">
        <v>404</v>
      </c>
      <c r="B42" s="1223"/>
      <c r="C42" s="1223"/>
      <c r="D42" s="1223"/>
      <c r="E42" s="1223"/>
      <c r="F42" s="1223"/>
      <c r="G42" s="1223"/>
      <c r="H42" s="826">
        <f>H41</f>
        <v>34560</v>
      </c>
      <c r="I42" s="293">
        <f>I41</f>
        <v>34.6</v>
      </c>
    </row>
    <row r="43" spans="1:17" ht="15" customHeight="1" x14ac:dyDescent="0.25"/>
    <row r="44" spans="1:17" ht="15" customHeight="1" x14ac:dyDescent="0.25">
      <c r="A44" s="1205" t="s">
        <v>826</v>
      </c>
      <c r="B44" s="1205"/>
      <c r="C44" s="1205"/>
      <c r="D44" s="1205"/>
      <c r="E44" s="1205"/>
      <c r="F44" s="1205"/>
      <c r="G44" s="1205"/>
      <c r="H44" s="1205"/>
      <c r="I44" s="1205"/>
    </row>
    <row r="45" spans="1:17" ht="24" x14ac:dyDescent="0.25">
      <c r="A45" s="733" t="s">
        <v>258</v>
      </c>
      <c r="B45" s="733" t="s">
        <v>492</v>
      </c>
      <c r="C45" s="731" t="s">
        <v>343</v>
      </c>
      <c r="D45" s="733" t="s">
        <v>389</v>
      </c>
      <c r="E45" s="733" t="s">
        <v>411</v>
      </c>
      <c r="F45" s="1159" t="s">
        <v>406</v>
      </c>
      <c r="G45" s="1159"/>
      <c r="H45" s="764" t="s">
        <v>467</v>
      </c>
      <c r="I45" s="733" t="s">
        <v>402</v>
      </c>
      <c r="J45" s="820"/>
      <c r="K45" s="820"/>
    </row>
    <row r="46" spans="1:17" ht="15" customHeight="1" x14ac:dyDescent="0.25">
      <c r="A46" s="728">
        <v>1</v>
      </c>
      <c r="B46" s="728">
        <v>2</v>
      </c>
      <c r="C46" s="728">
        <v>3</v>
      </c>
      <c r="D46" s="728">
        <v>4</v>
      </c>
      <c r="E46" s="728">
        <v>5</v>
      </c>
      <c r="F46" s="1172">
        <v>6</v>
      </c>
      <c r="G46" s="1172"/>
      <c r="H46" s="765">
        <v>7</v>
      </c>
      <c r="I46" s="728">
        <v>8</v>
      </c>
    </row>
    <row r="47" spans="1:17" ht="36" x14ac:dyDescent="0.25">
      <c r="A47" s="728">
        <v>1</v>
      </c>
      <c r="B47" s="734" t="s">
        <v>498</v>
      </c>
      <c r="C47" s="733">
        <v>346</v>
      </c>
      <c r="D47" s="731"/>
      <c r="E47" s="762">
        <v>1</v>
      </c>
      <c r="F47" s="1255">
        <v>20440</v>
      </c>
      <c r="G47" s="1255"/>
      <c r="H47" s="292">
        <f>F47*E47</f>
        <v>20440</v>
      </c>
      <c r="I47" s="294">
        <f>ROUND((F47*E47)/1000,1)</f>
        <v>20.399999999999999</v>
      </c>
    </row>
    <row r="48" spans="1:17" ht="15" customHeight="1" x14ac:dyDescent="0.25">
      <c r="A48" s="1156" t="s">
        <v>664</v>
      </c>
      <c r="B48" s="1156"/>
      <c r="C48" s="1156"/>
      <c r="D48" s="1156"/>
      <c r="E48" s="1156"/>
      <c r="F48" s="1156"/>
      <c r="G48" s="1156"/>
      <c r="H48" s="827">
        <f>H47</f>
        <v>20440</v>
      </c>
      <c r="I48" s="293">
        <f>SUM(I47:I47)</f>
        <v>20.399999999999999</v>
      </c>
    </row>
    <row r="49" spans="1:10" ht="15" customHeight="1" x14ac:dyDescent="0.25">
      <c r="A49" s="735"/>
      <c r="B49" s="735"/>
      <c r="C49" s="735"/>
      <c r="D49" s="735"/>
      <c r="E49" s="735"/>
      <c r="F49" s="735"/>
      <c r="G49" s="735"/>
      <c r="H49" s="735"/>
      <c r="I49" s="202"/>
    </row>
    <row r="50" spans="1:10" ht="15" customHeight="1" x14ac:dyDescent="0.25">
      <c r="A50" s="735"/>
      <c r="B50" s="735"/>
      <c r="C50" s="735"/>
      <c r="D50" s="735"/>
      <c r="E50" s="735"/>
      <c r="F50" s="735"/>
      <c r="G50" s="735"/>
      <c r="H50" s="735"/>
      <c r="I50" s="202"/>
    </row>
    <row r="51" spans="1:10" ht="15" customHeight="1" x14ac:dyDescent="0.25">
      <c r="A51" s="1201" t="s">
        <v>827</v>
      </c>
      <c r="B51" s="1201"/>
      <c r="C51" s="1201"/>
      <c r="D51" s="1201"/>
      <c r="E51" s="1201"/>
      <c r="F51" s="1201"/>
      <c r="G51" s="1201"/>
      <c r="H51" s="1201"/>
      <c r="I51" s="1201"/>
    </row>
    <row r="52" spans="1:10" x14ac:dyDescent="0.25">
      <c r="A52" s="1145" t="s">
        <v>493</v>
      </c>
      <c r="B52" s="1145"/>
      <c r="C52" s="1145"/>
      <c r="D52" s="1145"/>
      <c r="E52" s="1145"/>
      <c r="F52" s="1145"/>
      <c r="G52" s="1145"/>
      <c r="H52" s="1145"/>
      <c r="I52" s="1145"/>
    </row>
    <row r="53" spans="1:10" ht="24" x14ac:dyDescent="0.25">
      <c r="A53" s="733" t="s">
        <v>258</v>
      </c>
      <c r="B53" s="733" t="s">
        <v>492</v>
      </c>
      <c r="C53" s="731" t="s">
        <v>343</v>
      </c>
      <c r="D53" s="733" t="s">
        <v>389</v>
      </c>
      <c r="E53" s="733" t="s">
        <v>445</v>
      </c>
      <c r="F53" s="1159" t="s">
        <v>499</v>
      </c>
      <c r="G53" s="1159"/>
      <c r="H53" s="764" t="s">
        <v>467</v>
      </c>
      <c r="I53" s="733" t="s">
        <v>402</v>
      </c>
    </row>
    <row r="54" spans="1:10" x14ac:dyDescent="0.25">
      <c r="A54" s="728">
        <v>1</v>
      </c>
      <c r="B54" s="728">
        <v>2</v>
      </c>
      <c r="C54" s="728">
        <v>3</v>
      </c>
      <c r="D54" s="728">
        <v>4</v>
      </c>
      <c r="E54" s="728">
        <v>5</v>
      </c>
      <c r="F54" s="1172">
        <v>6</v>
      </c>
      <c r="G54" s="1172"/>
      <c r="H54" s="765">
        <v>7</v>
      </c>
      <c r="I54" s="728">
        <v>8</v>
      </c>
    </row>
    <row r="55" spans="1:10" ht="24" x14ac:dyDescent="0.25">
      <c r="A55" s="728">
        <v>1</v>
      </c>
      <c r="B55" s="734" t="s">
        <v>794</v>
      </c>
      <c r="C55" s="733">
        <v>297</v>
      </c>
      <c r="D55" s="731"/>
      <c r="E55" s="762">
        <v>4</v>
      </c>
      <c r="F55" s="1255">
        <v>80000</v>
      </c>
      <c r="G55" s="1255"/>
      <c r="H55" s="292">
        <f>F55*E55</f>
        <v>320000</v>
      </c>
      <c r="I55" s="283">
        <f>ROUND((F55*E55)/1000,1)</f>
        <v>320</v>
      </c>
    </row>
    <row r="56" spans="1:10" x14ac:dyDescent="0.25">
      <c r="A56" s="1223" t="s">
        <v>500</v>
      </c>
      <c r="B56" s="1223"/>
      <c r="C56" s="1223"/>
      <c r="D56" s="1223"/>
      <c r="E56" s="1223"/>
      <c r="F56" s="1223"/>
      <c r="G56" s="1223"/>
      <c r="H56" s="826">
        <f>H55</f>
        <v>320000</v>
      </c>
      <c r="I56" s="293">
        <f>I55</f>
        <v>320</v>
      </c>
    </row>
    <row r="57" spans="1:10" ht="15" customHeight="1" x14ac:dyDescent="0.25">
      <c r="A57" s="735"/>
      <c r="B57" s="735"/>
      <c r="C57" s="735"/>
      <c r="D57" s="735"/>
      <c r="E57" s="735"/>
      <c r="F57" s="735"/>
      <c r="G57" s="735"/>
      <c r="H57" s="735"/>
      <c r="I57" s="202"/>
    </row>
    <row r="58" spans="1:10" ht="15" customHeight="1" x14ac:dyDescent="0.25">
      <c r="A58" s="735"/>
      <c r="B58" s="735"/>
      <c r="C58" s="735"/>
      <c r="D58" s="735"/>
      <c r="E58" s="735"/>
      <c r="F58" s="735"/>
      <c r="G58" s="735"/>
      <c r="H58" s="735"/>
      <c r="I58" s="202"/>
    </row>
    <row r="59" spans="1:10" ht="30.75" customHeight="1" x14ac:dyDescent="0.25">
      <c r="A59" s="1142" t="s">
        <v>834</v>
      </c>
      <c r="B59" s="1201"/>
      <c r="C59" s="1201"/>
      <c r="D59" s="1201"/>
      <c r="E59" s="1201"/>
      <c r="F59" s="1201"/>
      <c r="G59" s="1201"/>
      <c r="H59" s="1201"/>
      <c r="I59" s="1201"/>
    </row>
    <row r="60" spans="1:10" ht="15" customHeight="1" x14ac:dyDescent="0.25">
      <c r="A60" s="1155" t="s">
        <v>518</v>
      </c>
      <c r="B60" s="1155"/>
      <c r="C60" s="1155"/>
      <c r="D60" s="1155"/>
      <c r="E60" s="1155"/>
      <c r="F60" s="1155"/>
      <c r="G60" s="1155"/>
      <c r="H60" s="1155"/>
      <c r="I60" s="1155"/>
    </row>
    <row r="61" spans="1:10" ht="24" x14ac:dyDescent="0.25">
      <c r="A61" s="733" t="s">
        <v>258</v>
      </c>
      <c r="B61" s="733" t="s">
        <v>492</v>
      </c>
      <c r="C61" s="731" t="s">
        <v>343</v>
      </c>
      <c r="D61" s="733" t="s">
        <v>389</v>
      </c>
      <c r="E61" s="733" t="s">
        <v>445</v>
      </c>
      <c r="F61" s="1159" t="s">
        <v>505</v>
      </c>
      <c r="G61" s="1159"/>
      <c r="H61" s="733" t="s">
        <v>467</v>
      </c>
      <c r="I61" s="733" t="s">
        <v>402</v>
      </c>
    </row>
    <row r="62" spans="1:10" ht="15" customHeight="1" x14ac:dyDescent="0.25">
      <c r="A62" s="728">
        <v>1</v>
      </c>
      <c r="B62" s="728">
        <v>2</v>
      </c>
      <c r="C62" s="728">
        <v>3</v>
      </c>
      <c r="D62" s="728">
        <v>4</v>
      </c>
      <c r="E62" s="728">
        <v>5</v>
      </c>
      <c r="F62" s="1172">
        <v>6</v>
      </c>
      <c r="G62" s="1172"/>
      <c r="H62" s="728">
        <v>7</v>
      </c>
      <c r="I62" s="728">
        <v>8</v>
      </c>
    </row>
    <row r="63" spans="1:10" ht="24" x14ac:dyDescent="0.25">
      <c r="A63" s="728">
        <v>1</v>
      </c>
      <c r="B63" s="734" t="s">
        <v>829</v>
      </c>
      <c r="C63" s="733">
        <v>225</v>
      </c>
      <c r="D63" s="731">
        <v>770</v>
      </c>
      <c r="E63" s="762">
        <v>12</v>
      </c>
      <c r="F63" s="1255">
        <v>24350</v>
      </c>
      <c r="G63" s="1255"/>
      <c r="H63" s="495">
        <f>F63*E63+7404.76-17733.37</f>
        <v>281871.39</v>
      </c>
      <c r="I63" s="283">
        <f>ROUND(H63/1000,1)</f>
        <v>281.89999999999998</v>
      </c>
      <c r="J63" s="508">
        <v>-17.73</v>
      </c>
    </row>
    <row r="64" spans="1:10" ht="15" customHeight="1" x14ac:dyDescent="0.25">
      <c r="A64" s="1223" t="s">
        <v>404</v>
      </c>
      <c r="B64" s="1223"/>
      <c r="C64" s="1223"/>
      <c r="D64" s="1223"/>
      <c r="E64" s="1223"/>
      <c r="F64" s="1223"/>
      <c r="G64" s="1223"/>
      <c r="H64" s="825">
        <f>H63</f>
        <v>281871.39</v>
      </c>
      <c r="I64" s="293">
        <f>I63</f>
        <v>281.89999999999998</v>
      </c>
    </row>
    <row r="65" spans="1:9" ht="15" customHeight="1" x14ac:dyDescent="0.25">
      <c r="A65" s="735"/>
      <c r="B65" s="735"/>
      <c r="C65" s="735"/>
      <c r="D65" s="735"/>
      <c r="E65" s="735"/>
      <c r="F65" s="735"/>
      <c r="G65" s="735"/>
      <c r="H65" s="735"/>
      <c r="I65" s="202"/>
    </row>
    <row r="66" spans="1:9" ht="15" customHeight="1" x14ac:dyDescent="0.25">
      <c r="A66" s="735"/>
      <c r="B66" s="735"/>
      <c r="C66" s="735"/>
      <c r="D66" s="735"/>
      <c r="E66" s="735"/>
      <c r="F66" s="735"/>
      <c r="G66" s="735"/>
      <c r="H66" s="735"/>
      <c r="I66" s="202"/>
    </row>
    <row r="67" spans="1:9" ht="15" customHeight="1" x14ac:dyDescent="0.25">
      <c r="A67" s="1256" t="s">
        <v>833</v>
      </c>
      <c r="B67" s="1256"/>
      <c r="C67" s="1256"/>
      <c r="D67" s="1256"/>
      <c r="E67" s="1256"/>
      <c r="F67" s="1256"/>
      <c r="G67" s="1256"/>
      <c r="H67" s="1256"/>
      <c r="I67" s="820"/>
    </row>
    <row r="68" spans="1:9" ht="15" customHeight="1" x14ac:dyDescent="0.25">
      <c r="A68" s="1257" t="s">
        <v>830</v>
      </c>
      <c r="B68" s="1257"/>
      <c r="C68" s="1257"/>
      <c r="D68" s="1257"/>
      <c r="E68" s="1257"/>
      <c r="F68" s="1257"/>
      <c r="G68" s="1257"/>
      <c r="H68" s="1257"/>
    </row>
    <row r="69" spans="1:9" ht="24" x14ac:dyDescent="0.25">
      <c r="A69" s="733" t="s">
        <v>258</v>
      </c>
      <c r="B69" s="733" t="s">
        <v>492</v>
      </c>
      <c r="C69" s="731" t="s">
        <v>343</v>
      </c>
      <c r="D69" s="733" t="s">
        <v>389</v>
      </c>
      <c r="E69" s="733" t="s">
        <v>445</v>
      </c>
      <c r="F69" s="733" t="s">
        <v>406</v>
      </c>
      <c r="G69" s="733" t="s">
        <v>467</v>
      </c>
      <c r="H69" s="733" t="s">
        <v>402</v>
      </c>
    </row>
    <row r="70" spans="1:9" x14ac:dyDescent="0.25">
      <c r="A70" s="728">
        <v>1</v>
      </c>
      <c r="B70" s="728">
        <v>2</v>
      </c>
      <c r="C70" s="728">
        <v>3</v>
      </c>
      <c r="D70" s="728">
        <v>4</v>
      </c>
      <c r="E70" s="728">
        <v>5</v>
      </c>
      <c r="F70" s="728">
        <v>6</v>
      </c>
      <c r="G70" s="728">
        <v>7</v>
      </c>
      <c r="H70" s="728">
        <v>8</v>
      </c>
    </row>
    <row r="71" spans="1:9" ht="48" x14ac:dyDescent="0.25">
      <c r="A71" s="728">
        <v>1</v>
      </c>
      <c r="B71" s="760" t="s">
        <v>831</v>
      </c>
      <c r="C71" s="733">
        <v>226</v>
      </c>
      <c r="D71" s="233" t="s">
        <v>362</v>
      </c>
      <c r="E71" s="762">
        <v>7</v>
      </c>
      <c r="F71" s="759">
        <v>5000</v>
      </c>
      <c r="G71" s="265">
        <f>F71*E71-5000</f>
        <v>30000</v>
      </c>
      <c r="H71" s="294">
        <f>ROUND((G71)/1000,1)</f>
        <v>30</v>
      </c>
      <c r="I71" s="508">
        <v>-5</v>
      </c>
    </row>
    <row r="72" spans="1:9" ht="48" x14ac:dyDescent="0.25">
      <c r="A72" s="965">
        <v>2</v>
      </c>
      <c r="B72" s="760" t="s">
        <v>831</v>
      </c>
      <c r="C72" s="964">
        <v>226</v>
      </c>
      <c r="D72" s="233" t="s">
        <v>362</v>
      </c>
      <c r="E72" s="762">
        <v>1</v>
      </c>
      <c r="F72" s="759">
        <v>15000</v>
      </c>
      <c r="G72" s="265">
        <f>F72*E72</f>
        <v>15000</v>
      </c>
      <c r="H72" s="294">
        <f t="shared" ref="H72:H73" si="3">ROUND((G72)/1000,1)</f>
        <v>15</v>
      </c>
    </row>
    <row r="73" spans="1:9" ht="48" x14ac:dyDescent="0.25">
      <c r="A73" s="971">
        <v>3</v>
      </c>
      <c r="B73" s="760" t="s">
        <v>831</v>
      </c>
      <c r="C73" s="969">
        <v>226</v>
      </c>
      <c r="D73" s="233" t="s">
        <v>362</v>
      </c>
      <c r="E73" s="762">
        <v>1</v>
      </c>
      <c r="F73" s="759">
        <v>10000</v>
      </c>
      <c r="G73" s="265">
        <f>F73*E73</f>
        <v>10000</v>
      </c>
      <c r="H73" s="294">
        <f t="shared" si="3"/>
        <v>10</v>
      </c>
      <c r="I73" s="980"/>
    </row>
    <row r="74" spans="1:9" x14ac:dyDescent="0.25">
      <c r="A74" s="1223" t="s">
        <v>832</v>
      </c>
      <c r="B74" s="1223"/>
      <c r="C74" s="1223"/>
      <c r="D74" s="1223"/>
      <c r="E74" s="1223"/>
      <c r="F74" s="1223"/>
      <c r="G74" s="825">
        <f>SUM(G71:G73)</f>
        <v>55000</v>
      </c>
      <c r="H74" s="293">
        <f>SUM(H71:H73)</f>
        <v>55</v>
      </c>
    </row>
    <row r="75" spans="1:9" ht="15" customHeight="1" x14ac:dyDescent="0.25"/>
    <row r="77" spans="1:9" x14ac:dyDescent="0.25">
      <c r="A77" s="1150" t="s">
        <v>397</v>
      </c>
      <c r="B77" s="1150"/>
      <c r="C77" s="168"/>
      <c r="D77" s="1151"/>
      <c r="E77" s="1151"/>
      <c r="F77" s="168"/>
      <c r="G77" s="1151" t="str">
        <f>рВДЛ!G32</f>
        <v>М.В. Златова</v>
      </c>
      <c r="H77" s="1151"/>
    </row>
    <row r="78" spans="1:9" x14ac:dyDescent="0.25">
      <c r="A78" s="1148" t="s">
        <v>329</v>
      </c>
      <c r="B78" s="1148"/>
      <c r="C78" s="169"/>
      <c r="D78" s="1148" t="s">
        <v>330</v>
      </c>
      <c r="E78" s="1148"/>
      <c r="F78" s="169"/>
      <c r="G78" s="1149" t="s">
        <v>331</v>
      </c>
      <c r="H78" s="1149"/>
    </row>
    <row r="79" spans="1:9" x14ac:dyDescent="0.25">
      <c r="A79" s="1150" t="str">
        <f>рВДЛ!A34</f>
        <v>Исполнитель: финансист</v>
      </c>
      <c r="B79" s="1150"/>
      <c r="C79" s="168"/>
      <c r="D79" s="1151"/>
      <c r="E79" s="1151"/>
      <c r="F79" s="168"/>
      <c r="G79" s="1151" t="str">
        <f>рВДЛ!G34</f>
        <v>Е.Н. Рыбалка</v>
      </c>
      <c r="H79" s="1151"/>
    </row>
    <row r="80" spans="1:9" x14ac:dyDescent="0.25">
      <c r="A80" s="1148" t="s">
        <v>329</v>
      </c>
      <c r="B80" s="1148"/>
      <c r="C80" s="169"/>
      <c r="D80" s="1148" t="s">
        <v>330</v>
      </c>
      <c r="E80" s="1148"/>
      <c r="F80" s="169"/>
      <c r="G80" s="1149" t="s">
        <v>331</v>
      </c>
      <c r="H80" s="1149"/>
    </row>
    <row r="87" ht="15" customHeight="1" x14ac:dyDescent="0.25"/>
    <row r="88" ht="60" customHeight="1" x14ac:dyDescent="0.25"/>
  </sheetData>
  <mergeCells count="80">
    <mergeCell ref="L23:Q23"/>
    <mergeCell ref="L24:L25"/>
    <mergeCell ref="A68:H68"/>
    <mergeCell ref="A33:D33"/>
    <mergeCell ref="A34:D34"/>
    <mergeCell ref="F61:G61"/>
    <mergeCell ref="F62:G62"/>
    <mergeCell ref="F63:G63"/>
    <mergeCell ref="A59:I59"/>
    <mergeCell ref="A60:I60"/>
    <mergeCell ref="A38:I38"/>
    <mergeCell ref="E18:E19"/>
    <mergeCell ref="A64:G64"/>
    <mergeCell ref="A67:H67"/>
    <mergeCell ref="A21:G21"/>
    <mergeCell ref="A23:F23"/>
    <mergeCell ref="A6:I6"/>
    <mergeCell ref="A7:I7"/>
    <mergeCell ref="A10:A11"/>
    <mergeCell ref="B10:B11"/>
    <mergeCell ref="C10:C11"/>
    <mergeCell ref="D10:D11"/>
    <mergeCell ref="E10:E11"/>
    <mergeCell ref="I10:I11"/>
    <mergeCell ref="A12:A13"/>
    <mergeCell ref="B12:B13"/>
    <mergeCell ref="C12:C13"/>
    <mergeCell ref="D12:D13"/>
    <mergeCell ref="A18:A19"/>
    <mergeCell ref="B18:B19"/>
    <mergeCell ref="C18:C19"/>
    <mergeCell ref="D18:D19"/>
    <mergeCell ref="A1:I1"/>
    <mergeCell ref="A79:B79"/>
    <mergeCell ref="D79:E79"/>
    <mergeCell ref="G79:H79"/>
    <mergeCell ref="A48:G48"/>
    <mergeCell ref="A42:G42"/>
    <mergeCell ref="A37:I37"/>
    <mergeCell ref="F47:G47"/>
    <mergeCell ref="F39:G39"/>
    <mergeCell ref="F40:G40"/>
    <mergeCell ref="F41:G41"/>
    <mergeCell ref="F45:G45"/>
    <mergeCell ref="F46:G46"/>
    <mergeCell ref="A44:I44"/>
    <mergeCell ref="I18:I19"/>
    <mergeCell ref="A20:G20"/>
    <mergeCell ref="A80:B80"/>
    <mergeCell ref="D80:E80"/>
    <mergeCell ref="G80:H80"/>
    <mergeCell ref="A51:I51"/>
    <mergeCell ref="A52:I52"/>
    <mergeCell ref="F53:G53"/>
    <mergeCell ref="A77:B77"/>
    <mergeCell ref="D77:E77"/>
    <mergeCell ref="G77:H77"/>
    <mergeCell ref="A78:B78"/>
    <mergeCell ref="D78:E78"/>
    <mergeCell ref="G78:H78"/>
    <mergeCell ref="F55:G55"/>
    <mergeCell ref="A56:G56"/>
    <mergeCell ref="F54:G54"/>
    <mergeCell ref="A74:F74"/>
    <mergeCell ref="A3:H3"/>
    <mergeCell ref="A4:H4"/>
    <mergeCell ref="I16:I17"/>
    <mergeCell ref="I14:I15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E12:E13"/>
    <mergeCell ref="I12:I13"/>
  </mergeCells>
  <pageMargins left="0.7" right="0.7" top="0.75" bottom="0.75" header="0.3" footer="0.3"/>
  <pageSetup paperSize="9" orientation="portrait" verticalDpi="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topLeftCell="A4" workbookViewId="0">
      <selection activeCell="I39" sqref="I39"/>
    </sheetView>
  </sheetViews>
  <sheetFormatPr defaultRowHeight="15" x14ac:dyDescent="0.25"/>
  <cols>
    <col min="1" max="1" width="49.42578125" customWidth="1"/>
    <col min="2" max="3" width="3.5703125" customWidth="1"/>
    <col min="4" max="4" width="11.42578125" customWidth="1"/>
    <col min="5" max="7" width="5.7109375" customWidth="1"/>
    <col min="8" max="8" width="9" customWidth="1"/>
    <col min="9" max="9" width="18.7109375" style="611" customWidth="1"/>
    <col min="254" max="254" width="49.42578125" customWidth="1"/>
    <col min="255" max="256" width="3.5703125" customWidth="1"/>
    <col min="257" max="257" width="11.42578125" customWidth="1"/>
    <col min="258" max="260" width="5.7109375" customWidth="1"/>
    <col min="261" max="261" width="9" customWidth="1"/>
    <col min="262" max="262" width="18.7109375" customWidth="1"/>
    <col min="510" max="510" width="49.42578125" customWidth="1"/>
    <col min="511" max="512" width="3.5703125" customWidth="1"/>
    <col min="513" max="513" width="11.42578125" customWidth="1"/>
    <col min="514" max="516" width="5.7109375" customWidth="1"/>
    <col min="517" max="517" width="9" customWidth="1"/>
    <col min="518" max="518" width="18.7109375" customWidth="1"/>
    <col min="766" max="766" width="49.42578125" customWidth="1"/>
    <col min="767" max="768" width="3.5703125" customWidth="1"/>
    <col min="769" max="769" width="11.42578125" customWidth="1"/>
    <col min="770" max="772" width="5.7109375" customWidth="1"/>
    <col min="773" max="773" width="9" customWidth="1"/>
    <col min="774" max="774" width="18.7109375" customWidth="1"/>
    <col min="1022" max="1022" width="49.42578125" customWidth="1"/>
    <col min="1023" max="1024" width="3.5703125" customWidth="1"/>
    <col min="1025" max="1025" width="11.42578125" customWidth="1"/>
    <col min="1026" max="1028" width="5.7109375" customWidth="1"/>
    <col min="1029" max="1029" width="9" customWidth="1"/>
    <col min="1030" max="1030" width="18.7109375" customWidth="1"/>
    <col min="1278" max="1278" width="49.42578125" customWidth="1"/>
    <col min="1279" max="1280" width="3.5703125" customWidth="1"/>
    <col min="1281" max="1281" width="11.42578125" customWidth="1"/>
    <col min="1282" max="1284" width="5.7109375" customWidth="1"/>
    <col min="1285" max="1285" width="9" customWidth="1"/>
    <col min="1286" max="1286" width="18.7109375" customWidth="1"/>
    <col min="1534" max="1534" width="49.42578125" customWidth="1"/>
    <col min="1535" max="1536" width="3.5703125" customWidth="1"/>
    <col min="1537" max="1537" width="11.42578125" customWidth="1"/>
    <col min="1538" max="1540" width="5.7109375" customWidth="1"/>
    <col min="1541" max="1541" width="9" customWidth="1"/>
    <col min="1542" max="1542" width="18.7109375" customWidth="1"/>
    <col min="1790" max="1790" width="49.42578125" customWidth="1"/>
    <col min="1791" max="1792" width="3.5703125" customWidth="1"/>
    <col min="1793" max="1793" width="11.42578125" customWidth="1"/>
    <col min="1794" max="1796" width="5.7109375" customWidth="1"/>
    <col min="1797" max="1797" width="9" customWidth="1"/>
    <col min="1798" max="1798" width="18.7109375" customWidth="1"/>
    <col min="2046" max="2046" width="49.42578125" customWidth="1"/>
    <col min="2047" max="2048" width="3.5703125" customWidth="1"/>
    <col min="2049" max="2049" width="11.42578125" customWidth="1"/>
    <col min="2050" max="2052" width="5.7109375" customWidth="1"/>
    <col min="2053" max="2053" width="9" customWidth="1"/>
    <col min="2054" max="2054" width="18.7109375" customWidth="1"/>
    <col min="2302" max="2302" width="49.42578125" customWidth="1"/>
    <col min="2303" max="2304" width="3.5703125" customWidth="1"/>
    <col min="2305" max="2305" width="11.42578125" customWidth="1"/>
    <col min="2306" max="2308" width="5.7109375" customWidth="1"/>
    <col min="2309" max="2309" width="9" customWidth="1"/>
    <col min="2310" max="2310" width="18.7109375" customWidth="1"/>
    <col min="2558" max="2558" width="49.42578125" customWidth="1"/>
    <col min="2559" max="2560" width="3.5703125" customWidth="1"/>
    <col min="2561" max="2561" width="11.42578125" customWidth="1"/>
    <col min="2562" max="2564" width="5.7109375" customWidth="1"/>
    <col min="2565" max="2565" width="9" customWidth="1"/>
    <col min="2566" max="2566" width="18.7109375" customWidth="1"/>
    <col min="2814" max="2814" width="49.42578125" customWidth="1"/>
    <col min="2815" max="2816" width="3.5703125" customWidth="1"/>
    <col min="2817" max="2817" width="11.42578125" customWidth="1"/>
    <col min="2818" max="2820" width="5.7109375" customWidth="1"/>
    <col min="2821" max="2821" width="9" customWidth="1"/>
    <col min="2822" max="2822" width="18.7109375" customWidth="1"/>
    <col min="3070" max="3070" width="49.42578125" customWidth="1"/>
    <col min="3071" max="3072" width="3.5703125" customWidth="1"/>
    <col min="3073" max="3073" width="11.42578125" customWidth="1"/>
    <col min="3074" max="3076" width="5.7109375" customWidth="1"/>
    <col min="3077" max="3077" width="9" customWidth="1"/>
    <col min="3078" max="3078" width="18.7109375" customWidth="1"/>
    <col min="3326" max="3326" width="49.42578125" customWidth="1"/>
    <col min="3327" max="3328" width="3.5703125" customWidth="1"/>
    <col min="3329" max="3329" width="11.42578125" customWidth="1"/>
    <col min="3330" max="3332" width="5.7109375" customWidth="1"/>
    <col min="3333" max="3333" width="9" customWidth="1"/>
    <col min="3334" max="3334" width="18.7109375" customWidth="1"/>
    <col min="3582" max="3582" width="49.42578125" customWidth="1"/>
    <col min="3583" max="3584" width="3.5703125" customWidth="1"/>
    <col min="3585" max="3585" width="11.42578125" customWidth="1"/>
    <col min="3586" max="3588" width="5.7109375" customWidth="1"/>
    <col min="3589" max="3589" width="9" customWidth="1"/>
    <col min="3590" max="3590" width="18.7109375" customWidth="1"/>
    <col min="3838" max="3838" width="49.42578125" customWidth="1"/>
    <col min="3839" max="3840" width="3.5703125" customWidth="1"/>
    <col min="3841" max="3841" width="11.42578125" customWidth="1"/>
    <col min="3842" max="3844" width="5.7109375" customWidth="1"/>
    <col min="3845" max="3845" width="9" customWidth="1"/>
    <col min="3846" max="3846" width="18.7109375" customWidth="1"/>
    <col min="4094" max="4094" width="49.42578125" customWidth="1"/>
    <col min="4095" max="4096" width="3.5703125" customWidth="1"/>
    <col min="4097" max="4097" width="11.42578125" customWidth="1"/>
    <col min="4098" max="4100" width="5.7109375" customWidth="1"/>
    <col min="4101" max="4101" width="9" customWidth="1"/>
    <col min="4102" max="4102" width="18.7109375" customWidth="1"/>
    <col min="4350" max="4350" width="49.42578125" customWidth="1"/>
    <col min="4351" max="4352" width="3.5703125" customWidth="1"/>
    <col min="4353" max="4353" width="11.42578125" customWidth="1"/>
    <col min="4354" max="4356" width="5.7109375" customWidth="1"/>
    <col min="4357" max="4357" width="9" customWidth="1"/>
    <col min="4358" max="4358" width="18.7109375" customWidth="1"/>
    <col min="4606" max="4606" width="49.42578125" customWidth="1"/>
    <col min="4607" max="4608" width="3.5703125" customWidth="1"/>
    <col min="4609" max="4609" width="11.42578125" customWidth="1"/>
    <col min="4610" max="4612" width="5.7109375" customWidth="1"/>
    <col min="4613" max="4613" width="9" customWidth="1"/>
    <col min="4614" max="4614" width="18.7109375" customWidth="1"/>
    <col min="4862" max="4862" width="49.42578125" customWidth="1"/>
    <col min="4863" max="4864" width="3.5703125" customWidth="1"/>
    <col min="4865" max="4865" width="11.42578125" customWidth="1"/>
    <col min="4866" max="4868" width="5.7109375" customWidth="1"/>
    <col min="4869" max="4869" width="9" customWidth="1"/>
    <col min="4870" max="4870" width="18.7109375" customWidth="1"/>
    <col min="5118" max="5118" width="49.42578125" customWidth="1"/>
    <col min="5119" max="5120" width="3.5703125" customWidth="1"/>
    <col min="5121" max="5121" width="11.42578125" customWidth="1"/>
    <col min="5122" max="5124" width="5.7109375" customWidth="1"/>
    <col min="5125" max="5125" width="9" customWidth="1"/>
    <col min="5126" max="5126" width="18.7109375" customWidth="1"/>
    <col min="5374" max="5374" width="49.42578125" customWidth="1"/>
    <col min="5375" max="5376" width="3.5703125" customWidth="1"/>
    <col min="5377" max="5377" width="11.42578125" customWidth="1"/>
    <col min="5378" max="5380" width="5.7109375" customWidth="1"/>
    <col min="5381" max="5381" width="9" customWidth="1"/>
    <col min="5382" max="5382" width="18.7109375" customWidth="1"/>
    <col min="5630" max="5630" width="49.42578125" customWidth="1"/>
    <col min="5631" max="5632" width="3.5703125" customWidth="1"/>
    <col min="5633" max="5633" width="11.42578125" customWidth="1"/>
    <col min="5634" max="5636" width="5.7109375" customWidth="1"/>
    <col min="5637" max="5637" width="9" customWidth="1"/>
    <col min="5638" max="5638" width="18.7109375" customWidth="1"/>
    <col min="5886" max="5886" width="49.42578125" customWidth="1"/>
    <col min="5887" max="5888" width="3.5703125" customWidth="1"/>
    <col min="5889" max="5889" width="11.42578125" customWidth="1"/>
    <col min="5890" max="5892" width="5.7109375" customWidth="1"/>
    <col min="5893" max="5893" width="9" customWidth="1"/>
    <col min="5894" max="5894" width="18.7109375" customWidth="1"/>
    <col min="6142" max="6142" width="49.42578125" customWidth="1"/>
    <col min="6143" max="6144" width="3.5703125" customWidth="1"/>
    <col min="6145" max="6145" width="11.42578125" customWidth="1"/>
    <col min="6146" max="6148" width="5.7109375" customWidth="1"/>
    <col min="6149" max="6149" width="9" customWidth="1"/>
    <col min="6150" max="6150" width="18.7109375" customWidth="1"/>
    <col min="6398" max="6398" width="49.42578125" customWidth="1"/>
    <col min="6399" max="6400" width="3.5703125" customWidth="1"/>
    <col min="6401" max="6401" width="11.42578125" customWidth="1"/>
    <col min="6402" max="6404" width="5.7109375" customWidth="1"/>
    <col min="6405" max="6405" width="9" customWidth="1"/>
    <col min="6406" max="6406" width="18.7109375" customWidth="1"/>
    <col min="6654" max="6654" width="49.42578125" customWidth="1"/>
    <col min="6655" max="6656" width="3.5703125" customWidth="1"/>
    <col min="6657" max="6657" width="11.42578125" customWidth="1"/>
    <col min="6658" max="6660" width="5.7109375" customWidth="1"/>
    <col min="6661" max="6661" width="9" customWidth="1"/>
    <col min="6662" max="6662" width="18.7109375" customWidth="1"/>
    <col min="6910" max="6910" width="49.42578125" customWidth="1"/>
    <col min="6911" max="6912" width="3.5703125" customWidth="1"/>
    <col min="6913" max="6913" width="11.42578125" customWidth="1"/>
    <col min="6914" max="6916" width="5.7109375" customWidth="1"/>
    <col min="6917" max="6917" width="9" customWidth="1"/>
    <col min="6918" max="6918" width="18.7109375" customWidth="1"/>
    <col min="7166" max="7166" width="49.42578125" customWidth="1"/>
    <col min="7167" max="7168" width="3.5703125" customWidth="1"/>
    <col min="7169" max="7169" width="11.42578125" customWidth="1"/>
    <col min="7170" max="7172" width="5.7109375" customWidth="1"/>
    <col min="7173" max="7173" width="9" customWidth="1"/>
    <col min="7174" max="7174" width="18.7109375" customWidth="1"/>
    <col min="7422" max="7422" width="49.42578125" customWidth="1"/>
    <col min="7423" max="7424" width="3.5703125" customWidth="1"/>
    <col min="7425" max="7425" width="11.42578125" customWidth="1"/>
    <col min="7426" max="7428" width="5.7109375" customWidth="1"/>
    <col min="7429" max="7429" width="9" customWidth="1"/>
    <col min="7430" max="7430" width="18.7109375" customWidth="1"/>
    <col min="7678" max="7678" width="49.42578125" customWidth="1"/>
    <col min="7679" max="7680" width="3.5703125" customWidth="1"/>
    <col min="7681" max="7681" width="11.42578125" customWidth="1"/>
    <col min="7682" max="7684" width="5.7109375" customWidth="1"/>
    <col min="7685" max="7685" width="9" customWidth="1"/>
    <col min="7686" max="7686" width="18.7109375" customWidth="1"/>
    <col min="7934" max="7934" width="49.42578125" customWidth="1"/>
    <col min="7935" max="7936" width="3.5703125" customWidth="1"/>
    <col min="7937" max="7937" width="11.42578125" customWidth="1"/>
    <col min="7938" max="7940" width="5.7109375" customWidth="1"/>
    <col min="7941" max="7941" width="9" customWidth="1"/>
    <col min="7942" max="7942" width="18.7109375" customWidth="1"/>
    <col min="8190" max="8190" width="49.42578125" customWidth="1"/>
    <col min="8191" max="8192" width="3.5703125" customWidth="1"/>
    <col min="8193" max="8193" width="11.42578125" customWidth="1"/>
    <col min="8194" max="8196" width="5.7109375" customWidth="1"/>
    <col min="8197" max="8197" width="9" customWidth="1"/>
    <col min="8198" max="8198" width="18.7109375" customWidth="1"/>
    <col min="8446" max="8446" width="49.42578125" customWidth="1"/>
    <col min="8447" max="8448" width="3.5703125" customWidth="1"/>
    <col min="8449" max="8449" width="11.42578125" customWidth="1"/>
    <col min="8450" max="8452" width="5.7109375" customWidth="1"/>
    <col min="8453" max="8453" width="9" customWidth="1"/>
    <col min="8454" max="8454" width="18.7109375" customWidth="1"/>
    <col min="8702" max="8702" width="49.42578125" customWidth="1"/>
    <col min="8703" max="8704" width="3.5703125" customWidth="1"/>
    <col min="8705" max="8705" width="11.42578125" customWidth="1"/>
    <col min="8706" max="8708" width="5.7109375" customWidth="1"/>
    <col min="8709" max="8709" width="9" customWidth="1"/>
    <col min="8710" max="8710" width="18.7109375" customWidth="1"/>
    <col min="8958" max="8958" width="49.42578125" customWidth="1"/>
    <col min="8959" max="8960" width="3.5703125" customWidth="1"/>
    <col min="8961" max="8961" width="11.42578125" customWidth="1"/>
    <col min="8962" max="8964" width="5.7109375" customWidth="1"/>
    <col min="8965" max="8965" width="9" customWidth="1"/>
    <col min="8966" max="8966" width="18.7109375" customWidth="1"/>
    <col min="9214" max="9214" width="49.42578125" customWidth="1"/>
    <col min="9215" max="9216" width="3.5703125" customWidth="1"/>
    <col min="9217" max="9217" width="11.42578125" customWidth="1"/>
    <col min="9218" max="9220" width="5.7109375" customWidth="1"/>
    <col min="9221" max="9221" width="9" customWidth="1"/>
    <col min="9222" max="9222" width="18.7109375" customWidth="1"/>
    <col min="9470" max="9470" width="49.42578125" customWidth="1"/>
    <col min="9471" max="9472" width="3.5703125" customWidth="1"/>
    <col min="9473" max="9473" width="11.42578125" customWidth="1"/>
    <col min="9474" max="9476" width="5.7109375" customWidth="1"/>
    <col min="9477" max="9477" width="9" customWidth="1"/>
    <col min="9478" max="9478" width="18.7109375" customWidth="1"/>
    <col min="9726" max="9726" width="49.42578125" customWidth="1"/>
    <col min="9727" max="9728" width="3.5703125" customWidth="1"/>
    <col min="9729" max="9729" width="11.42578125" customWidth="1"/>
    <col min="9730" max="9732" width="5.7109375" customWidth="1"/>
    <col min="9733" max="9733" width="9" customWidth="1"/>
    <col min="9734" max="9734" width="18.7109375" customWidth="1"/>
    <col min="9982" max="9982" width="49.42578125" customWidth="1"/>
    <col min="9983" max="9984" width="3.5703125" customWidth="1"/>
    <col min="9985" max="9985" width="11.42578125" customWidth="1"/>
    <col min="9986" max="9988" width="5.7109375" customWidth="1"/>
    <col min="9989" max="9989" width="9" customWidth="1"/>
    <col min="9990" max="9990" width="18.7109375" customWidth="1"/>
    <col min="10238" max="10238" width="49.42578125" customWidth="1"/>
    <col min="10239" max="10240" width="3.5703125" customWidth="1"/>
    <col min="10241" max="10241" width="11.42578125" customWidth="1"/>
    <col min="10242" max="10244" width="5.7109375" customWidth="1"/>
    <col min="10245" max="10245" width="9" customWidth="1"/>
    <col min="10246" max="10246" width="18.7109375" customWidth="1"/>
    <col min="10494" max="10494" width="49.42578125" customWidth="1"/>
    <col min="10495" max="10496" width="3.5703125" customWidth="1"/>
    <col min="10497" max="10497" width="11.42578125" customWidth="1"/>
    <col min="10498" max="10500" width="5.7109375" customWidth="1"/>
    <col min="10501" max="10501" width="9" customWidth="1"/>
    <col min="10502" max="10502" width="18.7109375" customWidth="1"/>
    <col min="10750" max="10750" width="49.42578125" customWidth="1"/>
    <col min="10751" max="10752" width="3.5703125" customWidth="1"/>
    <col min="10753" max="10753" width="11.42578125" customWidth="1"/>
    <col min="10754" max="10756" width="5.7109375" customWidth="1"/>
    <col min="10757" max="10757" width="9" customWidth="1"/>
    <col min="10758" max="10758" width="18.7109375" customWidth="1"/>
    <col min="11006" max="11006" width="49.42578125" customWidth="1"/>
    <col min="11007" max="11008" width="3.5703125" customWidth="1"/>
    <col min="11009" max="11009" width="11.42578125" customWidth="1"/>
    <col min="11010" max="11012" width="5.7109375" customWidth="1"/>
    <col min="11013" max="11013" width="9" customWidth="1"/>
    <col min="11014" max="11014" width="18.7109375" customWidth="1"/>
    <col min="11262" max="11262" width="49.42578125" customWidth="1"/>
    <col min="11263" max="11264" width="3.5703125" customWidth="1"/>
    <col min="11265" max="11265" width="11.42578125" customWidth="1"/>
    <col min="11266" max="11268" width="5.7109375" customWidth="1"/>
    <col min="11269" max="11269" width="9" customWidth="1"/>
    <col min="11270" max="11270" width="18.7109375" customWidth="1"/>
    <col min="11518" max="11518" width="49.42578125" customWidth="1"/>
    <col min="11519" max="11520" width="3.5703125" customWidth="1"/>
    <col min="11521" max="11521" width="11.42578125" customWidth="1"/>
    <col min="11522" max="11524" width="5.7109375" customWidth="1"/>
    <col min="11525" max="11525" width="9" customWidth="1"/>
    <col min="11526" max="11526" width="18.7109375" customWidth="1"/>
    <col min="11774" max="11774" width="49.42578125" customWidth="1"/>
    <col min="11775" max="11776" width="3.5703125" customWidth="1"/>
    <col min="11777" max="11777" width="11.42578125" customWidth="1"/>
    <col min="11778" max="11780" width="5.7109375" customWidth="1"/>
    <col min="11781" max="11781" width="9" customWidth="1"/>
    <col min="11782" max="11782" width="18.7109375" customWidth="1"/>
    <col min="12030" max="12030" width="49.42578125" customWidth="1"/>
    <col min="12031" max="12032" width="3.5703125" customWidth="1"/>
    <col min="12033" max="12033" width="11.42578125" customWidth="1"/>
    <col min="12034" max="12036" width="5.7109375" customWidth="1"/>
    <col min="12037" max="12037" width="9" customWidth="1"/>
    <col min="12038" max="12038" width="18.7109375" customWidth="1"/>
    <col min="12286" max="12286" width="49.42578125" customWidth="1"/>
    <col min="12287" max="12288" width="3.5703125" customWidth="1"/>
    <col min="12289" max="12289" width="11.42578125" customWidth="1"/>
    <col min="12290" max="12292" width="5.7109375" customWidth="1"/>
    <col min="12293" max="12293" width="9" customWidth="1"/>
    <col min="12294" max="12294" width="18.7109375" customWidth="1"/>
    <col min="12542" max="12542" width="49.42578125" customWidth="1"/>
    <col min="12543" max="12544" width="3.5703125" customWidth="1"/>
    <col min="12545" max="12545" width="11.42578125" customWidth="1"/>
    <col min="12546" max="12548" width="5.7109375" customWidth="1"/>
    <col min="12549" max="12549" width="9" customWidth="1"/>
    <col min="12550" max="12550" width="18.7109375" customWidth="1"/>
    <col min="12798" max="12798" width="49.42578125" customWidth="1"/>
    <col min="12799" max="12800" width="3.5703125" customWidth="1"/>
    <col min="12801" max="12801" width="11.42578125" customWidth="1"/>
    <col min="12802" max="12804" width="5.7109375" customWidth="1"/>
    <col min="12805" max="12805" width="9" customWidth="1"/>
    <col min="12806" max="12806" width="18.7109375" customWidth="1"/>
    <col min="13054" max="13054" width="49.42578125" customWidth="1"/>
    <col min="13055" max="13056" width="3.5703125" customWidth="1"/>
    <col min="13057" max="13057" width="11.42578125" customWidth="1"/>
    <col min="13058" max="13060" width="5.7109375" customWidth="1"/>
    <col min="13061" max="13061" width="9" customWidth="1"/>
    <col min="13062" max="13062" width="18.7109375" customWidth="1"/>
    <col min="13310" max="13310" width="49.42578125" customWidth="1"/>
    <col min="13311" max="13312" width="3.5703125" customWidth="1"/>
    <col min="13313" max="13313" width="11.42578125" customWidth="1"/>
    <col min="13314" max="13316" width="5.7109375" customWidth="1"/>
    <col min="13317" max="13317" width="9" customWidth="1"/>
    <col min="13318" max="13318" width="18.7109375" customWidth="1"/>
    <col min="13566" max="13566" width="49.42578125" customWidth="1"/>
    <col min="13567" max="13568" width="3.5703125" customWidth="1"/>
    <col min="13569" max="13569" width="11.42578125" customWidth="1"/>
    <col min="13570" max="13572" width="5.7109375" customWidth="1"/>
    <col min="13573" max="13573" width="9" customWidth="1"/>
    <col min="13574" max="13574" width="18.7109375" customWidth="1"/>
    <col min="13822" max="13822" width="49.42578125" customWidth="1"/>
    <col min="13823" max="13824" width="3.5703125" customWidth="1"/>
    <col min="13825" max="13825" width="11.42578125" customWidth="1"/>
    <col min="13826" max="13828" width="5.7109375" customWidth="1"/>
    <col min="13829" max="13829" width="9" customWidth="1"/>
    <col min="13830" max="13830" width="18.7109375" customWidth="1"/>
    <col min="14078" max="14078" width="49.42578125" customWidth="1"/>
    <col min="14079" max="14080" width="3.5703125" customWidth="1"/>
    <col min="14081" max="14081" width="11.42578125" customWidth="1"/>
    <col min="14082" max="14084" width="5.7109375" customWidth="1"/>
    <col min="14085" max="14085" width="9" customWidth="1"/>
    <col min="14086" max="14086" width="18.7109375" customWidth="1"/>
    <col min="14334" max="14334" width="49.42578125" customWidth="1"/>
    <col min="14335" max="14336" width="3.5703125" customWidth="1"/>
    <col min="14337" max="14337" width="11.42578125" customWidth="1"/>
    <col min="14338" max="14340" width="5.7109375" customWidth="1"/>
    <col min="14341" max="14341" width="9" customWidth="1"/>
    <col min="14342" max="14342" width="18.7109375" customWidth="1"/>
    <col min="14590" max="14590" width="49.42578125" customWidth="1"/>
    <col min="14591" max="14592" width="3.5703125" customWidth="1"/>
    <col min="14593" max="14593" width="11.42578125" customWidth="1"/>
    <col min="14594" max="14596" width="5.7109375" customWidth="1"/>
    <col min="14597" max="14597" width="9" customWidth="1"/>
    <col min="14598" max="14598" width="18.7109375" customWidth="1"/>
    <col min="14846" max="14846" width="49.42578125" customWidth="1"/>
    <col min="14847" max="14848" width="3.5703125" customWidth="1"/>
    <col min="14849" max="14849" width="11.42578125" customWidth="1"/>
    <col min="14850" max="14852" width="5.7109375" customWidth="1"/>
    <col min="14853" max="14853" width="9" customWidth="1"/>
    <col min="14854" max="14854" width="18.7109375" customWidth="1"/>
    <col min="15102" max="15102" width="49.42578125" customWidth="1"/>
    <col min="15103" max="15104" width="3.5703125" customWidth="1"/>
    <col min="15105" max="15105" width="11.42578125" customWidth="1"/>
    <col min="15106" max="15108" width="5.7109375" customWidth="1"/>
    <col min="15109" max="15109" width="9" customWidth="1"/>
    <col min="15110" max="15110" width="18.7109375" customWidth="1"/>
    <col min="15358" max="15358" width="49.42578125" customWidth="1"/>
    <col min="15359" max="15360" width="3.5703125" customWidth="1"/>
    <col min="15361" max="15361" width="11.42578125" customWidth="1"/>
    <col min="15362" max="15364" width="5.7109375" customWidth="1"/>
    <col min="15365" max="15365" width="9" customWidth="1"/>
    <col min="15366" max="15366" width="18.7109375" customWidth="1"/>
    <col min="15614" max="15614" width="49.42578125" customWidth="1"/>
    <col min="15615" max="15616" width="3.5703125" customWidth="1"/>
    <col min="15617" max="15617" width="11.42578125" customWidth="1"/>
    <col min="15618" max="15620" width="5.7109375" customWidth="1"/>
    <col min="15621" max="15621" width="9" customWidth="1"/>
    <col min="15622" max="15622" width="18.7109375" customWidth="1"/>
    <col min="15870" max="15870" width="49.42578125" customWidth="1"/>
    <col min="15871" max="15872" width="3.5703125" customWidth="1"/>
    <col min="15873" max="15873" width="11.42578125" customWidth="1"/>
    <col min="15874" max="15876" width="5.7109375" customWidth="1"/>
    <col min="15877" max="15877" width="9" customWidth="1"/>
    <col min="15878" max="15878" width="18.7109375" customWidth="1"/>
    <col min="16126" max="16126" width="49.42578125" customWidth="1"/>
    <col min="16127" max="16128" width="3.5703125" customWidth="1"/>
    <col min="16129" max="16129" width="11.42578125" customWidth="1"/>
    <col min="16130" max="16132" width="5.7109375" customWidth="1"/>
    <col min="16133" max="16133" width="9" customWidth="1"/>
    <col min="16134" max="16134" width="18.7109375" customWidth="1"/>
  </cols>
  <sheetData>
    <row r="1" spans="1:9" s="125" customFormat="1" ht="17.25" customHeight="1" x14ac:dyDescent="0.25">
      <c r="A1" s="124"/>
      <c r="D1" s="1276" t="s">
        <v>327</v>
      </c>
      <c r="E1" s="1276"/>
      <c r="F1" s="1276"/>
      <c r="G1" s="1276"/>
      <c r="H1" s="1276"/>
      <c r="I1" s="870"/>
    </row>
    <row r="2" spans="1:9" s="125" customFormat="1" ht="17.25" customHeight="1" x14ac:dyDescent="0.25">
      <c r="A2" s="126"/>
      <c r="B2" s="126"/>
      <c r="C2" s="126"/>
      <c r="D2" s="1277" t="s">
        <v>328</v>
      </c>
      <c r="E2" s="1277"/>
      <c r="F2" s="1277"/>
      <c r="G2" s="1277"/>
      <c r="H2" s="1277"/>
      <c r="I2" s="870"/>
    </row>
    <row r="3" spans="1:9" s="125" customFormat="1" ht="12" customHeight="1" x14ac:dyDescent="0.25">
      <c r="A3" s="127"/>
      <c r="B3" s="127"/>
      <c r="C3" s="127"/>
      <c r="D3" s="1275" t="s">
        <v>329</v>
      </c>
      <c r="E3" s="1275"/>
      <c r="F3" s="1275"/>
      <c r="G3" s="1275"/>
      <c r="H3" s="1275"/>
      <c r="I3" s="870"/>
    </row>
    <row r="4" spans="1:9" s="125" customFormat="1" ht="17.25" customHeight="1" x14ac:dyDescent="0.25">
      <c r="D4" s="1278"/>
      <c r="E4" s="1278"/>
      <c r="F4" s="1278" t="str">
        <f>сВДЛ!F4</f>
        <v>М.В. Златова</v>
      </c>
      <c r="G4" s="1278"/>
      <c r="H4" s="1278"/>
      <c r="I4" s="870"/>
    </row>
    <row r="5" spans="1:9" s="125" customFormat="1" ht="10.5" customHeight="1" x14ac:dyDescent="0.25">
      <c r="A5" s="128"/>
      <c r="D5" s="1275" t="s">
        <v>330</v>
      </c>
      <c r="E5" s="1275"/>
      <c r="F5" s="1275" t="s">
        <v>331</v>
      </c>
      <c r="G5" s="1275"/>
      <c r="H5" s="1275"/>
      <c r="I5" s="870"/>
    </row>
    <row r="6" spans="1:9" s="125" customFormat="1" ht="15" customHeight="1" x14ac:dyDescent="0.25">
      <c r="A6" s="1268" t="s">
        <v>332</v>
      </c>
      <c r="B6" s="1268"/>
      <c r="C6" s="1268"/>
      <c r="D6" s="1268"/>
      <c r="E6" s="1268"/>
      <c r="F6" s="1268"/>
      <c r="G6" s="1268"/>
      <c r="H6" s="1268"/>
      <c r="I6" s="815"/>
    </row>
    <row r="7" spans="1:9" s="125" customFormat="1" ht="15" customHeight="1" x14ac:dyDescent="0.25">
      <c r="A7" s="1268" t="str">
        <f>'СВОД смет'!A7:H7</f>
        <v>на 2020 год</v>
      </c>
      <c r="B7" s="1268"/>
      <c r="C7" s="1268"/>
      <c r="D7" s="1268"/>
      <c r="E7" s="1268"/>
      <c r="F7" s="1268"/>
      <c r="G7" s="1268"/>
      <c r="H7" s="1268"/>
      <c r="I7" s="815"/>
    </row>
    <row r="8" spans="1:9" s="125" customFormat="1" ht="13.5" customHeight="1" x14ac:dyDescent="0.25">
      <c r="A8" s="129"/>
      <c r="B8" s="129"/>
      <c r="C8" s="129"/>
      <c r="D8" s="129"/>
      <c r="E8" s="1269"/>
      <c r="F8" s="1270"/>
      <c r="G8" s="1271" t="s">
        <v>333</v>
      </c>
      <c r="H8" s="1272"/>
      <c r="I8" s="816"/>
    </row>
    <row r="9" spans="1:9" s="125" customFormat="1" ht="13.5" customHeight="1" x14ac:dyDescent="0.25">
      <c r="A9" s="1273" t="s">
        <v>334</v>
      </c>
      <c r="B9" s="1273"/>
      <c r="C9" s="1273"/>
      <c r="D9" s="1274"/>
      <c r="E9" s="1265" t="s">
        <v>335</v>
      </c>
      <c r="F9" s="1265"/>
      <c r="G9" s="1266">
        <v>4109076</v>
      </c>
      <c r="H9" s="1266"/>
      <c r="I9" s="817"/>
    </row>
    <row r="10" spans="1:9" s="125" customFormat="1" ht="13.5" customHeight="1" x14ac:dyDescent="0.25">
      <c r="A10" s="1263" t="s">
        <v>336</v>
      </c>
      <c r="B10" s="1263"/>
      <c r="C10" s="1263"/>
      <c r="D10" s="1264"/>
      <c r="E10" s="1265" t="s">
        <v>337</v>
      </c>
      <c r="F10" s="1265"/>
      <c r="G10" s="1266"/>
      <c r="H10" s="1266"/>
      <c r="I10" s="817"/>
    </row>
    <row r="11" spans="1:9" s="125" customFormat="1" ht="13.5" customHeight="1" x14ac:dyDescent="0.25">
      <c r="A11" s="140" t="s">
        <v>338</v>
      </c>
      <c r="B11" s="130"/>
      <c r="C11" s="130"/>
      <c r="D11" s="130"/>
      <c r="E11" s="1265" t="s">
        <v>339</v>
      </c>
      <c r="F11" s="1265"/>
      <c r="G11" s="1266">
        <v>384</v>
      </c>
      <c r="H11" s="1266"/>
      <c r="I11" s="818"/>
    </row>
    <row r="12" spans="1:9" s="1" customFormat="1" x14ac:dyDescent="0.25">
      <c r="A12" s="1267" t="s">
        <v>163</v>
      </c>
      <c r="B12" s="1267"/>
      <c r="C12" s="1267"/>
      <c r="D12" s="1267"/>
      <c r="E12" s="1267"/>
      <c r="F12" s="1267"/>
      <c r="G12" s="1267"/>
      <c r="H12" s="1267"/>
      <c r="I12" s="871"/>
    </row>
    <row r="13" spans="1:9" s="1" customFormat="1" ht="6" customHeight="1" x14ac:dyDescent="0.25">
      <c r="E13" s="131"/>
      <c r="F13" s="131"/>
      <c r="G13" s="131"/>
      <c r="H13" s="131"/>
      <c r="I13" s="871"/>
    </row>
    <row r="14" spans="1:9" s="1" customFormat="1" x14ac:dyDescent="0.25">
      <c r="A14" s="1258" t="s">
        <v>340</v>
      </c>
      <c r="B14" s="1259" t="s">
        <v>341</v>
      </c>
      <c r="C14" s="1260"/>
      <c r="D14" s="1260"/>
      <c r="E14" s="1260"/>
      <c r="F14" s="1260"/>
      <c r="G14" s="1261"/>
      <c r="H14" s="1262" t="s">
        <v>661</v>
      </c>
      <c r="I14" s="871"/>
    </row>
    <row r="15" spans="1:9" ht="46.5" customHeight="1" x14ac:dyDescent="0.25">
      <c r="A15" s="1258"/>
      <c r="B15" s="141" t="s">
        <v>99</v>
      </c>
      <c r="C15" s="141" t="s">
        <v>100</v>
      </c>
      <c r="D15" s="142" t="s">
        <v>101</v>
      </c>
      <c r="E15" s="141" t="s">
        <v>342</v>
      </c>
      <c r="F15" s="142" t="s">
        <v>343</v>
      </c>
      <c r="G15" s="142" t="s">
        <v>344</v>
      </c>
      <c r="H15" s="1262"/>
      <c r="I15" s="872"/>
    </row>
    <row r="16" spans="1:9" x14ac:dyDescent="0.25">
      <c r="A16" s="564" t="s">
        <v>640</v>
      </c>
      <c r="B16" s="581" t="s">
        <v>108</v>
      </c>
      <c r="C16" s="581" t="s">
        <v>116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62.4</v>
      </c>
    </row>
    <row r="17" spans="1:8" x14ac:dyDescent="0.25">
      <c r="A17" s="565" t="s">
        <v>641</v>
      </c>
      <c r="B17" s="577"/>
      <c r="C17" s="577"/>
      <c r="D17" s="577"/>
      <c r="E17" s="577"/>
      <c r="F17" s="558">
        <v>210</v>
      </c>
      <c r="G17" s="558"/>
      <c r="H17" s="578">
        <f>H18+H19+H21+H22</f>
        <v>0</v>
      </c>
    </row>
    <row r="18" spans="1:8" x14ac:dyDescent="0.25">
      <c r="A18" s="566" t="s">
        <v>346</v>
      </c>
      <c r="B18" s="134"/>
      <c r="C18" s="134"/>
      <c r="D18" s="134"/>
      <c r="E18" s="498"/>
      <c r="F18" s="559">
        <v>211</v>
      </c>
      <c r="G18" s="559"/>
      <c r="H18" s="143"/>
    </row>
    <row r="19" spans="1:8" x14ac:dyDescent="0.25">
      <c r="A19" s="566" t="s">
        <v>642</v>
      </c>
      <c r="B19" s="134"/>
      <c r="C19" s="134"/>
      <c r="D19" s="134"/>
      <c r="E19" s="497"/>
      <c r="F19" s="559">
        <v>212</v>
      </c>
      <c r="G19" s="559"/>
      <c r="H19" s="143">
        <f>H20</f>
        <v>0</v>
      </c>
    </row>
    <row r="20" spans="1:8" x14ac:dyDescent="0.25">
      <c r="A20" s="567" t="s">
        <v>347</v>
      </c>
      <c r="B20" s="132"/>
      <c r="C20" s="132"/>
      <c r="D20" s="132"/>
      <c r="E20" s="496"/>
      <c r="F20" s="560">
        <v>212</v>
      </c>
      <c r="G20" s="560">
        <v>610</v>
      </c>
      <c r="H20" s="135"/>
    </row>
    <row r="21" spans="1:8" x14ac:dyDescent="0.25">
      <c r="A21" s="566" t="s">
        <v>643</v>
      </c>
      <c r="B21" s="134"/>
      <c r="C21" s="134"/>
      <c r="D21" s="134"/>
      <c r="E21" s="498"/>
      <c r="F21" s="559">
        <v>213</v>
      </c>
      <c r="G21" s="559"/>
      <c r="H21" s="143"/>
    </row>
    <row r="22" spans="1:8" ht="24" x14ac:dyDescent="0.25">
      <c r="A22" s="566" t="s">
        <v>644</v>
      </c>
      <c r="B22" s="134"/>
      <c r="C22" s="134"/>
      <c r="D22" s="134"/>
      <c r="E22" s="497"/>
      <c r="F22" s="559">
        <v>214</v>
      </c>
      <c r="G22" s="559"/>
      <c r="H22" s="143">
        <f>H23</f>
        <v>0</v>
      </c>
    </row>
    <row r="23" spans="1:8" x14ac:dyDescent="0.25">
      <c r="A23" s="567" t="s">
        <v>423</v>
      </c>
      <c r="B23" s="132"/>
      <c r="C23" s="132"/>
      <c r="D23" s="132"/>
      <c r="E23" s="496"/>
      <c r="F23" s="560">
        <v>214</v>
      </c>
      <c r="G23" s="560">
        <v>831</v>
      </c>
      <c r="H23" s="135"/>
    </row>
    <row r="24" spans="1:8" x14ac:dyDescent="0.25">
      <c r="A24" s="565" t="s">
        <v>645</v>
      </c>
      <c r="B24" s="577" t="s">
        <v>108</v>
      </c>
      <c r="C24" s="577" t="s">
        <v>116</v>
      </c>
      <c r="D24" s="577" t="s">
        <v>165</v>
      </c>
      <c r="E24" s="577" t="s">
        <v>126</v>
      </c>
      <c r="F24" s="558">
        <v>220</v>
      </c>
      <c r="G24" s="558"/>
      <c r="H24" s="578">
        <f>H25+H26+H28+H32+H36</f>
        <v>62.4</v>
      </c>
    </row>
    <row r="25" spans="1:8" x14ac:dyDescent="0.25">
      <c r="A25" s="566" t="s">
        <v>351</v>
      </c>
      <c r="B25" s="134"/>
      <c r="C25" s="134"/>
      <c r="D25" s="134"/>
      <c r="E25" s="134"/>
      <c r="F25" s="559">
        <v>221</v>
      </c>
      <c r="G25" s="559"/>
      <c r="H25" s="143">
        <f>рПВУ!H10</f>
        <v>0</v>
      </c>
    </row>
    <row r="26" spans="1:8" x14ac:dyDescent="0.25">
      <c r="A26" s="566" t="s">
        <v>646</v>
      </c>
      <c r="B26" s="134"/>
      <c r="C26" s="134"/>
      <c r="D26" s="134"/>
      <c r="E26" s="134"/>
      <c r="F26" s="559">
        <v>222</v>
      </c>
      <c r="G26" s="559"/>
      <c r="H26" s="143">
        <f>H27</f>
        <v>0</v>
      </c>
    </row>
    <row r="27" spans="1:8" x14ac:dyDescent="0.25">
      <c r="A27" s="567" t="s">
        <v>352</v>
      </c>
      <c r="B27" s="132"/>
      <c r="C27" s="132"/>
      <c r="D27" s="132"/>
      <c r="E27" s="132"/>
      <c r="F27" s="560">
        <v>222</v>
      </c>
      <c r="G27" s="560">
        <v>500</v>
      </c>
      <c r="H27" s="135"/>
    </row>
    <row r="28" spans="1:8" x14ac:dyDescent="0.25">
      <c r="A28" s="566" t="s">
        <v>353</v>
      </c>
      <c r="B28" s="134"/>
      <c r="C28" s="134"/>
      <c r="D28" s="134"/>
      <c r="E28" s="134"/>
      <c r="F28" s="559">
        <v>223</v>
      </c>
      <c r="G28" s="559"/>
      <c r="H28" s="143">
        <f>SUM(H29:H31)</f>
        <v>0</v>
      </c>
    </row>
    <row r="29" spans="1:8" x14ac:dyDescent="0.25">
      <c r="A29" s="567" t="s">
        <v>354</v>
      </c>
      <c r="B29" s="132"/>
      <c r="C29" s="132"/>
      <c r="D29" s="132"/>
      <c r="E29" s="132"/>
      <c r="F29" s="560">
        <v>223</v>
      </c>
      <c r="G29" s="560">
        <v>721</v>
      </c>
      <c r="H29" s="135"/>
    </row>
    <row r="30" spans="1:8" x14ac:dyDescent="0.25">
      <c r="A30" s="567" t="s">
        <v>355</v>
      </c>
      <c r="B30" s="132"/>
      <c r="C30" s="132"/>
      <c r="D30" s="132"/>
      <c r="E30" s="132"/>
      <c r="F30" s="560">
        <v>223</v>
      </c>
      <c r="G30" s="560">
        <v>730</v>
      </c>
      <c r="H30" s="135"/>
    </row>
    <row r="31" spans="1:8" x14ac:dyDescent="0.25">
      <c r="A31" s="567" t="s">
        <v>356</v>
      </c>
      <c r="B31" s="132"/>
      <c r="C31" s="132"/>
      <c r="D31" s="132"/>
      <c r="E31" s="132"/>
      <c r="F31" s="560">
        <v>223</v>
      </c>
      <c r="G31" s="560">
        <v>740</v>
      </c>
      <c r="H31" s="135"/>
    </row>
    <row r="32" spans="1:8" x14ac:dyDescent="0.25">
      <c r="A32" s="566" t="s">
        <v>647</v>
      </c>
      <c r="B32" s="134"/>
      <c r="C32" s="134"/>
      <c r="D32" s="134"/>
      <c r="E32" s="134"/>
      <c r="F32" s="559">
        <v>225</v>
      </c>
      <c r="G32" s="559"/>
      <c r="H32" s="143">
        <f>SUM(H33:H35)</f>
        <v>0</v>
      </c>
    </row>
    <row r="33" spans="1:9" x14ac:dyDescent="0.25">
      <c r="A33" s="549" t="s">
        <v>171</v>
      </c>
      <c r="B33" s="132"/>
      <c r="C33" s="132"/>
      <c r="D33" s="132"/>
      <c r="E33" s="132"/>
      <c r="F33" s="561">
        <v>225</v>
      </c>
      <c r="G33" s="561" t="s">
        <v>357</v>
      </c>
      <c r="H33" s="135"/>
    </row>
    <row r="34" spans="1:9" ht="24" x14ac:dyDescent="0.25">
      <c r="A34" s="567" t="s">
        <v>648</v>
      </c>
      <c r="B34" s="132"/>
      <c r="C34" s="132"/>
      <c r="D34" s="132"/>
      <c r="E34" s="132"/>
      <c r="F34" s="560">
        <v>225</v>
      </c>
      <c r="G34" s="560" t="s">
        <v>358</v>
      </c>
      <c r="H34" s="135"/>
      <c r="I34" s="873"/>
    </row>
    <row r="35" spans="1:9" x14ac:dyDescent="0.25">
      <c r="A35" s="567" t="s">
        <v>649</v>
      </c>
      <c r="B35" s="134"/>
      <c r="C35" s="134"/>
      <c r="D35" s="134"/>
      <c r="E35" s="134"/>
      <c r="F35" s="560">
        <v>225</v>
      </c>
      <c r="G35" s="560" t="s">
        <v>660</v>
      </c>
      <c r="H35" s="135"/>
    </row>
    <row r="36" spans="1:9" x14ac:dyDescent="0.25">
      <c r="A36" s="566" t="s">
        <v>562</v>
      </c>
      <c r="B36" s="134" t="s">
        <v>108</v>
      </c>
      <c r="C36" s="134" t="s">
        <v>116</v>
      </c>
      <c r="D36" s="134" t="s">
        <v>165</v>
      </c>
      <c r="E36" s="134" t="s">
        <v>416</v>
      </c>
      <c r="F36" s="559" t="s">
        <v>350</v>
      </c>
      <c r="G36" s="559"/>
      <c r="H36" s="143">
        <f>SUM(H37:H43)</f>
        <v>62.4</v>
      </c>
    </row>
    <row r="37" spans="1:9" x14ac:dyDescent="0.25">
      <c r="A37" s="567" t="s">
        <v>359</v>
      </c>
      <c r="B37" s="132"/>
      <c r="C37" s="132"/>
      <c r="D37" s="132"/>
      <c r="E37" s="132"/>
      <c r="F37" s="560">
        <v>226</v>
      </c>
      <c r="G37" s="560" t="s">
        <v>360</v>
      </c>
      <c r="H37" s="135"/>
      <c r="I37" s="874"/>
    </row>
    <row r="38" spans="1:9" x14ac:dyDescent="0.25">
      <c r="A38" s="567" t="s">
        <v>361</v>
      </c>
      <c r="B38" s="132" t="s">
        <v>108</v>
      </c>
      <c r="C38" s="132" t="s">
        <v>116</v>
      </c>
      <c r="D38" s="132" t="s">
        <v>165</v>
      </c>
      <c r="E38" s="132" t="s">
        <v>416</v>
      </c>
      <c r="F38" s="560">
        <v>226</v>
      </c>
      <c r="G38" s="560" t="s">
        <v>362</v>
      </c>
      <c r="H38" s="135">
        <f>рПВУ!I16</f>
        <v>62.4</v>
      </c>
      <c r="I38" s="611">
        <v>4500</v>
      </c>
    </row>
    <row r="39" spans="1:9" ht="24" x14ac:dyDescent="0.25">
      <c r="A39" s="567" t="s">
        <v>650</v>
      </c>
      <c r="B39" s="132"/>
      <c r="C39" s="132"/>
      <c r="D39" s="132"/>
      <c r="E39" s="132"/>
      <c r="F39" s="560">
        <v>226</v>
      </c>
      <c r="G39" s="560" t="s">
        <v>363</v>
      </c>
      <c r="H39" s="135"/>
    </row>
    <row r="40" spans="1:9" x14ac:dyDescent="0.25">
      <c r="A40" s="567" t="s">
        <v>348</v>
      </c>
      <c r="B40" s="132"/>
      <c r="C40" s="132"/>
      <c r="D40" s="132"/>
      <c r="E40" s="496"/>
      <c r="F40" s="560">
        <v>226</v>
      </c>
      <c r="G40" s="560">
        <v>620</v>
      </c>
      <c r="H40" s="135"/>
    </row>
    <row r="41" spans="1:9" x14ac:dyDescent="0.25">
      <c r="A41" s="567" t="s">
        <v>349</v>
      </c>
      <c r="B41" s="132"/>
      <c r="C41" s="132"/>
      <c r="D41" s="132"/>
      <c r="E41" s="496"/>
      <c r="F41" s="560">
        <v>226</v>
      </c>
      <c r="G41" s="560">
        <v>630</v>
      </c>
      <c r="H41" s="135"/>
    </row>
    <row r="42" spans="1:9" x14ac:dyDescent="0.25">
      <c r="A42" s="567" t="s">
        <v>697</v>
      </c>
      <c r="B42" s="132"/>
      <c r="C42" s="132"/>
      <c r="D42" s="132"/>
      <c r="E42" s="132"/>
      <c r="F42" s="560">
        <v>226</v>
      </c>
      <c r="G42" s="560">
        <v>843</v>
      </c>
      <c r="H42" s="135"/>
    </row>
    <row r="43" spans="1:9" x14ac:dyDescent="0.25">
      <c r="A43" s="549" t="s">
        <v>371</v>
      </c>
      <c r="B43" s="144"/>
      <c r="C43" s="144"/>
      <c r="D43" s="144"/>
      <c r="E43" s="144"/>
      <c r="F43" s="561">
        <v>226</v>
      </c>
      <c r="G43" s="561">
        <v>845</v>
      </c>
      <c r="H43" s="572"/>
    </row>
    <row r="44" spans="1:9" ht="25.5" x14ac:dyDescent="0.25">
      <c r="A44" s="579" t="s">
        <v>636</v>
      </c>
      <c r="B44" s="574"/>
      <c r="C44" s="574"/>
      <c r="D44" s="574"/>
      <c r="E44" s="574"/>
      <c r="F44" s="558">
        <v>240</v>
      </c>
      <c r="G44" s="558"/>
      <c r="H44" s="575">
        <f>H45</f>
        <v>0</v>
      </c>
    </row>
    <row r="45" spans="1:9" ht="24" x14ac:dyDescent="0.25">
      <c r="A45" s="133" t="s">
        <v>639</v>
      </c>
      <c r="B45" s="144"/>
      <c r="C45" s="144"/>
      <c r="D45" s="144"/>
      <c r="E45" s="144"/>
      <c r="F45" s="563">
        <v>244</v>
      </c>
      <c r="G45" s="563"/>
      <c r="H45" s="573"/>
    </row>
    <row r="46" spans="1:9" x14ac:dyDescent="0.25">
      <c r="A46" s="565" t="s">
        <v>651</v>
      </c>
      <c r="B46" s="574"/>
      <c r="C46" s="574"/>
      <c r="D46" s="574"/>
      <c r="E46" s="574"/>
      <c r="F46" s="558" t="s">
        <v>364</v>
      </c>
      <c r="G46" s="558"/>
      <c r="H46" s="575">
        <f>H47</f>
        <v>0</v>
      </c>
      <c r="I46" s="873"/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574"/>
      <c r="C48" s="574"/>
      <c r="D48" s="574"/>
      <c r="E48" s="497"/>
      <c r="F48" s="558" t="s">
        <v>366</v>
      </c>
      <c r="G48" s="558"/>
      <c r="H48" s="575">
        <f>H49+H51</f>
        <v>0</v>
      </c>
    </row>
    <row r="49" spans="1:8" ht="24" x14ac:dyDescent="0.25">
      <c r="A49" s="566" t="s">
        <v>654</v>
      </c>
      <c r="B49" s="144"/>
      <c r="C49" s="144"/>
      <c r="D49" s="144"/>
      <c r="E49" s="144"/>
      <c r="F49" s="559">
        <v>264</v>
      </c>
      <c r="G49" s="559"/>
      <c r="H49" s="573">
        <f>H50</f>
        <v>0</v>
      </c>
    </row>
    <row r="50" spans="1:8" x14ac:dyDescent="0.25">
      <c r="A50" s="567" t="s">
        <v>367</v>
      </c>
      <c r="B50" s="134"/>
      <c r="C50" s="134"/>
      <c r="D50" s="134"/>
      <c r="E50" s="134"/>
      <c r="F50" s="560">
        <v>264</v>
      </c>
      <c r="G50" s="560" t="s">
        <v>368</v>
      </c>
      <c r="H50" s="135"/>
    </row>
    <row r="51" spans="1:8" ht="24" x14ac:dyDescent="0.25">
      <c r="A51" s="566" t="s">
        <v>382</v>
      </c>
      <c r="B51" s="134"/>
      <c r="C51" s="134"/>
      <c r="D51" s="134"/>
      <c r="E51" s="497"/>
      <c r="F51" s="559">
        <v>266</v>
      </c>
      <c r="G51" s="559"/>
      <c r="H51" s="143"/>
    </row>
    <row r="52" spans="1:8" x14ac:dyDescent="0.25">
      <c r="A52" s="565" t="s">
        <v>369</v>
      </c>
      <c r="B52" s="574"/>
      <c r="C52" s="574"/>
      <c r="D52" s="574"/>
      <c r="E52" s="574"/>
      <c r="F52" s="558" t="s">
        <v>370</v>
      </c>
      <c r="G52" s="558"/>
      <c r="H52" s="575">
        <f>SUM(H53:H58)</f>
        <v>0</v>
      </c>
    </row>
    <row r="53" spans="1:8" x14ac:dyDescent="0.25">
      <c r="A53" s="568" t="s">
        <v>379</v>
      </c>
      <c r="B53" s="278"/>
      <c r="C53" s="278"/>
      <c r="D53" s="278"/>
      <c r="E53" s="278"/>
      <c r="F53" s="562">
        <v>291</v>
      </c>
      <c r="G53" s="562"/>
      <c r="H53" s="573"/>
    </row>
    <row r="54" spans="1:8" x14ac:dyDescent="0.25">
      <c r="A54" s="568" t="s">
        <v>380</v>
      </c>
      <c r="B54" s="585"/>
      <c r="C54" s="585"/>
      <c r="D54" s="585"/>
      <c r="E54" s="585"/>
      <c r="F54" s="562">
        <v>292</v>
      </c>
      <c r="G54" s="562"/>
      <c r="H54" s="143"/>
    </row>
    <row r="55" spans="1:8" x14ac:dyDescent="0.25">
      <c r="A55" s="568" t="s">
        <v>381</v>
      </c>
      <c r="B55" s="585"/>
      <c r="C55" s="585"/>
      <c r="D55" s="585"/>
      <c r="E55" s="585"/>
      <c r="F55" s="562">
        <v>293</v>
      </c>
      <c r="G55" s="562"/>
      <c r="H55" s="143"/>
    </row>
    <row r="56" spans="1:8" x14ac:dyDescent="0.25">
      <c r="A56" s="568" t="s">
        <v>665</v>
      </c>
      <c r="B56" s="134"/>
      <c r="C56" s="134"/>
      <c r="D56" s="134"/>
      <c r="E56" s="134"/>
      <c r="F56" s="562">
        <v>295</v>
      </c>
      <c r="G56" s="562"/>
      <c r="H56" s="143"/>
    </row>
    <row r="57" spans="1:8" x14ac:dyDescent="0.25">
      <c r="A57" s="568" t="s">
        <v>655</v>
      </c>
      <c r="B57" s="585"/>
      <c r="C57" s="585"/>
      <c r="D57" s="585"/>
      <c r="E57" s="585"/>
      <c r="F57" s="562">
        <v>296</v>
      </c>
      <c r="G57" s="562"/>
      <c r="H57" s="143"/>
    </row>
    <row r="58" spans="1:8" x14ac:dyDescent="0.25">
      <c r="A58" s="568" t="s">
        <v>665</v>
      </c>
      <c r="B58" s="134"/>
      <c r="C58" s="134"/>
      <c r="D58" s="134"/>
      <c r="E58" s="134"/>
      <c r="F58" s="562">
        <v>297</v>
      </c>
      <c r="G58" s="562"/>
      <c r="H58" s="143"/>
    </row>
    <row r="59" spans="1:8" x14ac:dyDescent="0.25">
      <c r="A59" s="565" t="s">
        <v>656</v>
      </c>
      <c r="B59" s="574"/>
      <c r="C59" s="574"/>
      <c r="D59" s="574"/>
      <c r="E59" s="574"/>
      <c r="F59" s="558" t="s">
        <v>205</v>
      </c>
      <c r="G59" s="558"/>
      <c r="H59" s="575">
        <f>H60+H62+H63+H64</f>
        <v>0</v>
      </c>
    </row>
    <row r="60" spans="1:8" x14ac:dyDescent="0.25">
      <c r="A60" s="566" t="s">
        <v>372</v>
      </c>
      <c r="B60" s="278"/>
      <c r="C60" s="278"/>
      <c r="D60" s="278"/>
      <c r="E60" s="278"/>
      <c r="F60" s="563" t="s">
        <v>373</v>
      </c>
      <c r="G60" s="563"/>
      <c r="H60" s="573">
        <f>H61</f>
        <v>0</v>
      </c>
    </row>
    <row r="61" spans="1:8" x14ac:dyDescent="0.25">
      <c r="A61" s="567" t="s">
        <v>374</v>
      </c>
      <c r="B61" s="132"/>
      <c r="C61" s="132"/>
      <c r="D61" s="132"/>
      <c r="E61" s="132"/>
      <c r="F61" s="560">
        <v>310</v>
      </c>
      <c r="G61" s="560" t="s">
        <v>375</v>
      </c>
      <c r="H61" s="135"/>
    </row>
    <row r="62" spans="1:8" x14ac:dyDescent="0.25">
      <c r="A62" s="569" t="s">
        <v>657</v>
      </c>
      <c r="B62" s="134"/>
      <c r="C62" s="134"/>
      <c r="D62" s="134"/>
      <c r="E62" s="134"/>
      <c r="F62" s="563">
        <v>343</v>
      </c>
      <c r="G62" s="563"/>
      <c r="H62" s="143"/>
    </row>
    <row r="63" spans="1:8" ht="24" x14ac:dyDescent="0.25">
      <c r="A63" s="569" t="s">
        <v>658</v>
      </c>
      <c r="B63" s="134"/>
      <c r="C63" s="134"/>
      <c r="D63" s="134"/>
      <c r="E63" s="134"/>
      <c r="F63" s="563">
        <v>346</v>
      </c>
      <c r="G63" s="563"/>
      <c r="H63" s="143">
        <f>рПВУ!H22</f>
        <v>0</v>
      </c>
    </row>
    <row r="64" spans="1:8" ht="24" x14ac:dyDescent="0.25">
      <c r="A64" s="569" t="s">
        <v>659</v>
      </c>
      <c r="B64" s="134"/>
      <c r="C64" s="134"/>
      <c r="D64" s="134"/>
      <c r="E64" s="134"/>
      <c r="F64" s="563">
        <v>349</v>
      </c>
      <c r="G64" s="563"/>
      <c r="H64" s="143"/>
    </row>
    <row r="65" spans="1:9" x14ac:dyDescent="0.25">
      <c r="A65" s="569" t="s">
        <v>487</v>
      </c>
      <c r="B65" s="134" t="s">
        <v>108</v>
      </c>
      <c r="C65" s="134" t="s">
        <v>116</v>
      </c>
      <c r="D65" s="134" t="s">
        <v>165</v>
      </c>
      <c r="E65" s="134" t="s">
        <v>126</v>
      </c>
      <c r="F65" s="563"/>
      <c r="G65" s="563"/>
      <c r="H65" s="143">
        <f>H36</f>
        <v>62.4</v>
      </c>
    </row>
    <row r="66" spans="1:9" x14ac:dyDescent="0.25">
      <c r="A66" s="571" t="s">
        <v>377</v>
      </c>
      <c r="B66" s="134" t="s">
        <v>108</v>
      </c>
      <c r="C66" s="134" t="s">
        <v>116</v>
      </c>
      <c r="D66" s="134" t="s">
        <v>485</v>
      </c>
      <c r="E66" s="134" t="s">
        <v>345</v>
      </c>
      <c r="F66" s="570"/>
      <c r="G66" s="570"/>
      <c r="H66" s="143">
        <f>H59+H16</f>
        <v>62.4</v>
      </c>
      <c r="I66" s="611">
        <f>SUM(I16:I64)</f>
        <v>4500</v>
      </c>
    </row>
    <row r="67" spans="1:9" x14ac:dyDescent="0.25">
      <c r="A67" s="136"/>
      <c r="B67" s="137"/>
      <c r="C67" s="137"/>
      <c r="D67" s="137"/>
      <c r="E67" s="137"/>
      <c r="F67" s="137"/>
      <c r="G67" s="137"/>
      <c r="H67" s="138"/>
    </row>
    <row r="68" spans="1:9" x14ac:dyDescent="0.25">
      <c r="I68" s="873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2"/>
  <sheetViews>
    <sheetView workbookViewId="0">
      <selection activeCell="J15" sqref="J15"/>
    </sheetView>
  </sheetViews>
  <sheetFormatPr defaultRowHeight="15" x14ac:dyDescent="0.25"/>
  <cols>
    <col min="1" max="1" width="4" style="279" customWidth="1"/>
    <col min="2" max="2" width="24.7109375" style="279" customWidth="1"/>
    <col min="3" max="4" width="6.5703125" style="279" customWidth="1"/>
    <col min="5" max="5" width="9.28515625" style="279" customWidth="1"/>
    <col min="6" max="6" width="12.42578125" style="279" customWidth="1"/>
    <col min="7" max="7" width="10.28515625" style="279" customWidth="1"/>
    <col min="8" max="8" width="11.7109375" style="279" customWidth="1"/>
    <col min="9" max="9" width="11.5703125" style="279" customWidth="1"/>
    <col min="10" max="10" width="12.5703125" style="279" customWidth="1"/>
    <col min="11" max="11" width="10.5703125" style="279" bestFit="1" customWidth="1"/>
    <col min="12" max="12" width="9.140625" style="279"/>
    <col min="13" max="13" width="12.140625" style="279" customWidth="1"/>
    <col min="14" max="255" width="9.140625" style="279"/>
    <col min="256" max="256" width="4" style="279" customWidth="1"/>
    <col min="257" max="257" width="10.5703125" style="279" customWidth="1"/>
    <col min="258" max="258" width="11.140625" style="279" customWidth="1"/>
    <col min="259" max="259" width="8.7109375" style="279" customWidth="1"/>
    <col min="260" max="260" width="8" style="279" customWidth="1"/>
    <col min="261" max="261" width="10.28515625" style="279" customWidth="1"/>
    <col min="262" max="262" width="7.140625" style="279" customWidth="1"/>
    <col min="263" max="263" width="6.85546875" style="279" customWidth="1"/>
    <col min="264" max="264" width="11.7109375" style="279" customWidth="1"/>
    <col min="265" max="265" width="11.5703125" style="279" customWidth="1"/>
    <col min="266" max="266" width="9.140625" style="279"/>
    <col min="267" max="267" width="10.5703125" style="279" bestFit="1" customWidth="1"/>
    <col min="268" max="268" width="9.140625" style="279"/>
    <col min="269" max="269" width="12.140625" style="279" customWidth="1"/>
    <col min="270" max="511" width="9.140625" style="279"/>
    <col min="512" max="512" width="4" style="279" customWidth="1"/>
    <col min="513" max="513" width="10.5703125" style="279" customWidth="1"/>
    <col min="514" max="514" width="11.140625" style="279" customWidth="1"/>
    <col min="515" max="515" width="8.7109375" style="279" customWidth="1"/>
    <col min="516" max="516" width="8" style="279" customWidth="1"/>
    <col min="517" max="517" width="10.28515625" style="279" customWidth="1"/>
    <col min="518" max="518" width="7.140625" style="279" customWidth="1"/>
    <col min="519" max="519" width="6.85546875" style="279" customWidth="1"/>
    <col min="520" max="520" width="11.7109375" style="279" customWidth="1"/>
    <col min="521" max="521" width="11.5703125" style="279" customWidth="1"/>
    <col min="522" max="522" width="9.140625" style="279"/>
    <col min="523" max="523" width="10.5703125" style="279" bestFit="1" customWidth="1"/>
    <col min="524" max="524" width="9.140625" style="279"/>
    <col min="525" max="525" width="12.140625" style="279" customWidth="1"/>
    <col min="526" max="767" width="9.140625" style="279"/>
    <col min="768" max="768" width="4" style="279" customWidth="1"/>
    <col min="769" max="769" width="10.5703125" style="279" customWidth="1"/>
    <col min="770" max="770" width="11.140625" style="279" customWidth="1"/>
    <col min="771" max="771" width="8.7109375" style="279" customWidth="1"/>
    <col min="772" max="772" width="8" style="279" customWidth="1"/>
    <col min="773" max="773" width="10.28515625" style="279" customWidth="1"/>
    <col min="774" max="774" width="7.140625" style="279" customWidth="1"/>
    <col min="775" max="775" width="6.85546875" style="279" customWidth="1"/>
    <col min="776" max="776" width="11.7109375" style="279" customWidth="1"/>
    <col min="777" max="777" width="11.5703125" style="279" customWidth="1"/>
    <col min="778" max="778" width="9.140625" style="279"/>
    <col min="779" max="779" width="10.5703125" style="279" bestFit="1" customWidth="1"/>
    <col min="780" max="780" width="9.140625" style="279"/>
    <col min="781" max="781" width="12.140625" style="279" customWidth="1"/>
    <col min="782" max="1023" width="9.140625" style="279"/>
    <col min="1024" max="1024" width="4" style="279" customWidth="1"/>
    <col min="1025" max="1025" width="10.5703125" style="279" customWidth="1"/>
    <col min="1026" max="1026" width="11.140625" style="279" customWidth="1"/>
    <col min="1027" max="1027" width="8.7109375" style="279" customWidth="1"/>
    <col min="1028" max="1028" width="8" style="279" customWidth="1"/>
    <col min="1029" max="1029" width="10.28515625" style="279" customWidth="1"/>
    <col min="1030" max="1030" width="7.140625" style="279" customWidth="1"/>
    <col min="1031" max="1031" width="6.85546875" style="279" customWidth="1"/>
    <col min="1032" max="1032" width="11.7109375" style="279" customWidth="1"/>
    <col min="1033" max="1033" width="11.5703125" style="279" customWidth="1"/>
    <col min="1034" max="1034" width="9.140625" style="279"/>
    <col min="1035" max="1035" width="10.5703125" style="279" bestFit="1" customWidth="1"/>
    <col min="1036" max="1036" width="9.140625" style="279"/>
    <col min="1037" max="1037" width="12.140625" style="279" customWidth="1"/>
    <col min="1038" max="1279" width="9.140625" style="279"/>
    <col min="1280" max="1280" width="4" style="279" customWidth="1"/>
    <col min="1281" max="1281" width="10.5703125" style="279" customWidth="1"/>
    <col min="1282" max="1282" width="11.140625" style="279" customWidth="1"/>
    <col min="1283" max="1283" width="8.7109375" style="279" customWidth="1"/>
    <col min="1284" max="1284" width="8" style="279" customWidth="1"/>
    <col min="1285" max="1285" width="10.28515625" style="279" customWidth="1"/>
    <col min="1286" max="1286" width="7.140625" style="279" customWidth="1"/>
    <col min="1287" max="1287" width="6.85546875" style="279" customWidth="1"/>
    <col min="1288" max="1288" width="11.7109375" style="279" customWidth="1"/>
    <col min="1289" max="1289" width="11.5703125" style="279" customWidth="1"/>
    <col min="1290" max="1290" width="9.140625" style="279"/>
    <col min="1291" max="1291" width="10.5703125" style="279" bestFit="1" customWidth="1"/>
    <col min="1292" max="1292" width="9.140625" style="279"/>
    <col min="1293" max="1293" width="12.140625" style="279" customWidth="1"/>
    <col min="1294" max="1535" width="9.140625" style="279"/>
    <col min="1536" max="1536" width="4" style="279" customWidth="1"/>
    <col min="1537" max="1537" width="10.5703125" style="279" customWidth="1"/>
    <col min="1538" max="1538" width="11.140625" style="279" customWidth="1"/>
    <col min="1539" max="1539" width="8.7109375" style="279" customWidth="1"/>
    <col min="1540" max="1540" width="8" style="279" customWidth="1"/>
    <col min="1541" max="1541" width="10.28515625" style="279" customWidth="1"/>
    <col min="1542" max="1542" width="7.140625" style="279" customWidth="1"/>
    <col min="1543" max="1543" width="6.85546875" style="279" customWidth="1"/>
    <col min="1544" max="1544" width="11.7109375" style="279" customWidth="1"/>
    <col min="1545" max="1545" width="11.5703125" style="279" customWidth="1"/>
    <col min="1546" max="1546" width="9.140625" style="279"/>
    <col min="1547" max="1547" width="10.5703125" style="279" bestFit="1" customWidth="1"/>
    <col min="1548" max="1548" width="9.140625" style="279"/>
    <col min="1549" max="1549" width="12.140625" style="279" customWidth="1"/>
    <col min="1550" max="1791" width="9.140625" style="279"/>
    <col min="1792" max="1792" width="4" style="279" customWidth="1"/>
    <col min="1793" max="1793" width="10.5703125" style="279" customWidth="1"/>
    <col min="1794" max="1794" width="11.140625" style="279" customWidth="1"/>
    <col min="1795" max="1795" width="8.7109375" style="279" customWidth="1"/>
    <col min="1796" max="1796" width="8" style="279" customWidth="1"/>
    <col min="1797" max="1797" width="10.28515625" style="279" customWidth="1"/>
    <col min="1798" max="1798" width="7.140625" style="279" customWidth="1"/>
    <col min="1799" max="1799" width="6.85546875" style="279" customWidth="1"/>
    <col min="1800" max="1800" width="11.7109375" style="279" customWidth="1"/>
    <col min="1801" max="1801" width="11.5703125" style="279" customWidth="1"/>
    <col min="1802" max="1802" width="9.140625" style="279"/>
    <col min="1803" max="1803" width="10.5703125" style="279" bestFit="1" customWidth="1"/>
    <col min="1804" max="1804" width="9.140625" style="279"/>
    <col min="1805" max="1805" width="12.140625" style="279" customWidth="1"/>
    <col min="1806" max="2047" width="9.140625" style="279"/>
    <col min="2048" max="2048" width="4" style="279" customWidth="1"/>
    <col min="2049" max="2049" width="10.5703125" style="279" customWidth="1"/>
    <col min="2050" max="2050" width="11.140625" style="279" customWidth="1"/>
    <col min="2051" max="2051" width="8.7109375" style="279" customWidth="1"/>
    <col min="2052" max="2052" width="8" style="279" customWidth="1"/>
    <col min="2053" max="2053" width="10.28515625" style="279" customWidth="1"/>
    <col min="2054" max="2054" width="7.140625" style="279" customWidth="1"/>
    <col min="2055" max="2055" width="6.85546875" style="279" customWidth="1"/>
    <col min="2056" max="2056" width="11.7109375" style="279" customWidth="1"/>
    <col min="2057" max="2057" width="11.5703125" style="279" customWidth="1"/>
    <col min="2058" max="2058" width="9.140625" style="279"/>
    <col min="2059" max="2059" width="10.5703125" style="279" bestFit="1" customWidth="1"/>
    <col min="2060" max="2060" width="9.140625" style="279"/>
    <col min="2061" max="2061" width="12.140625" style="279" customWidth="1"/>
    <col min="2062" max="2303" width="9.140625" style="279"/>
    <col min="2304" max="2304" width="4" style="279" customWidth="1"/>
    <col min="2305" max="2305" width="10.5703125" style="279" customWidth="1"/>
    <col min="2306" max="2306" width="11.140625" style="279" customWidth="1"/>
    <col min="2307" max="2307" width="8.7109375" style="279" customWidth="1"/>
    <col min="2308" max="2308" width="8" style="279" customWidth="1"/>
    <col min="2309" max="2309" width="10.28515625" style="279" customWidth="1"/>
    <col min="2310" max="2310" width="7.140625" style="279" customWidth="1"/>
    <col min="2311" max="2311" width="6.85546875" style="279" customWidth="1"/>
    <col min="2312" max="2312" width="11.7109375" style="279" customWidth="1"/>
    <col min="2313" max="2313" width="11.5703125" style="279" customWidth="1"/>
    <col min="2314" max="2314" width="9.140625" style="279"/>
    <col min="2315" max="2315" width="10.5703125" style="279" bestFit="1" customWidth="1"/>
    <col min="2316" max="2316" width="9.140625" style="279"/>
    <col min="2317" max="2317" width="12.140625" style="279" customWidth="1"/>
    <col min="2318" max="2559" width="9.140625" style="279"/>
    <col min="2560" max="2560" width="4" style="279" customWidth="1"/>
    <col min="2561" max="2561" width="10.5703125" style="279" customWidth="1"/>
    <col min="2562" max="2562" width="11.140625" style="279" customWidth="1"/>
    <col min="2563" max="2563" width="8.7109375" style="279" customWidth="1"/>
    <col min="2564" max="2564" width="8" style="279" customWidth="1"/>
    <col min="2565" max="2565" width="10.28515625" style="279" customWidth="1"/>
    <col min="2566" max="2566" width="7.140625" style="279" customWidth="1"/>
    <col min="2567" max="2567" width="6.85546875" style="279" customWidth="1"/>
    <col min="2568" max="2568" width="11.7109375" style="279" customWidth="1"/>
    <col min="2569" max="2569" width="11.5703125" style="279" customWidth="1"/>
    <col min="2570" max="2570" width="9.140625" style="279"/>
    <col min="2571" max="2571" width="10.5703125" style="279" bestFit="1" customWidth="1"/>
    <col min="2572" max="2572" width="9.140625" style="279"/>
    <col min="2573" max="2573" width="12.140625" style="279" customWidth="1"/>
    <col min="2574" max="2815" width="9.140625" style="279"/>
    <col min="2816" max="2816" width="4" style="279" customWidth="1"/>
    <col min="2817" max="2817" width="10.5703125" style="279" customWidth="1"/>
    <col min="2818" max="2818" width="11.140625" style="279" customWidth="1"/>
    <col min="2819" max="2819" width="8.7109375" style="279" customWidth="1"/>
    <col min="2820" max="2820" width="8" style="279" customWidth="1"/>
    <col min="2821" max="2821" width="10.28515625" style="279" customWidth="1"/>
    <col min="2822" max="2822" width="7.140625" style="279" customWidth="1"/>
    <col min="2823" max="2823" width="6.85546875" style="279" customWidth="1"/>
    <col min="2824" max="2824" width="11.7109375" style="279" customWidth="1"/>
    <col min="2825" max="2825" width="11.5703125" style="279" customWidth="1"/>
    <col min="2826" max="2826" width="9.140625" style="279"/>
    <col min="2827" max="2827" width="10.5703125" style="279" bestFit="1" customWidth="1"/>
    <col min="2828" max="2828" width="9.140625" style="279"/>
    <col min="2829" max="2829" width="12.140625" style="279" customWidth="1"/>
    <col min="2830" max="3071" width="9.140625" style="279"/>
    <col min="3072" max="3072" width="4" style="279" customWidth="1"/>
    <col min="3073" max="3073" width="10.5703125" style="279" customWidth="1"/>
    <col min="3074" max="3074" width="11.140625" style="279" customWidth="1"/>
    <col min="3075" max="3075" width="8.7109375" style="279" customWidth="1"/>
    <col min="3076" max="3076" width="8" style="279" customWidth="1"/>
    <col min="3077" max="3077" width="10.28515625" style="279" customWidth="1"/>
    <col min="3078" max="3078" width="7.140625" style="279" customWidth="1"/>
    <col min="3079" max="3079" width="6.85546875" style="279" customWidth="1"/>
    <col min="3080" max="3080" width="11.7109375" style="279" customWidth="1"/>
    <col min="3081" max="3081" width="11.5703125" style="279" customWidth="1"/>
    <col min="3082" max="3082" width="9.140625" style="279"/>
    <col min="3083" max="3083" width="10.5703125" style="279" bestFit="1" customWidth="1"/>
    <col min="3084" max="3084" width="9.140625" style="279"/>
    <col min="3085" max="3085" width="12.140625" style="279" customWidth="1"/>
    <col min="3086" max="3327" width="9.140625" style="279"/>
    <col min="3328" max="3328" width="4" style="279" customWidth="1"/>
    <col min="3329" max="3329" width="10.5703125" style="279" customWidth="1"/>
    <col min="3330" max="3330" width="11.140625" style="279" customWidth="1"/>
    <col min="3331" max="3331" width="8.7109375" style="279" customWidth="1"/>
    <col min="3332" max="3332" width="8" style="279" customWidth="1"/>
    <col min="3333" max="3333" width="10.28515625" style="279" customWidth="1"/>
    <col min="3334" max="3334" width="7.140625" style="279" customWidth="1"/>
    <col min="3335" max="3335" width="6.85546875" style="279" customWidth="1"/>
    <col min="3336" max="3336" width="11.7109375" style="279" customWidth="1"/>
    <col min="3337" max="3337" width="11.5703125" style="279" customWidth="1"/>
    <col min="3338" max="3338" width="9.140625" style="279"/>
    <col min="3339" max="3339" width="10.5703125" style="279" bestFit="1" customWidth="1"/>
    <col min="3340" max="3340" width="9.140625" style="279"/>
    <col min="3341" max="3341" width="12.140625" style="279" customWidth="1"/>
    <col min="3342" max="3583" width="9.140625" style="279"/>
    <col min="3584" max="3584" width="4" style="279" customWidth="1"/>
    <col min="3585" max="3585" width="10.5703125" style="279" customWidth="1"/>
    <col min="3586" max="3586" width="11.140625" style="279" customWidth="1"/>
    <col min="3587" max="3587" width="8.7109375" style="279" customWidth="1"/>
    <col min="3588" max="3588" width="8" style="279" customWidth="1"/>
    <col min="3589" max="3589" width="10.28515625" style="279" customWidth="1"/>
    <col min="3590" max="3590" width="7.140625" style="279" customWidth="1"/>
    <col min="3591" max="3591" width="6.85546875" style="279" customWidth="1"/>
    <col min="3592" max="3592" width="11.7109375" style="279" customWidth="1"/>
    <col min="3593" max="3593" width="11.5703125" style="279" customWidth="1"/>
    <col min="3594" max="3594" width="9.140625" style="279"/>
    <col min="3595" max="3595" width="10.5703125" style="279" bestFit="1" customWidth="1"/>
    <col min="3596" max="3596" width="9.140625" style="279"/>
    <col min="3597" max="3597" width="12.140625" style="279" customWidth="1"/>
    <col min="3598" max="3839" width="9.140625" style="279"/>
    <col min="3840" max="3840" width="4" style="279" customWidth="1"/>
    <col min="3841" max="3841" width="10.5703125" style="279" customWidth="1"/>
    <col min="3842" max="3842" width="11.140625" style="279" customWidth="1"/>
    <col min="3843" max="3843" width="8.7109375" style="279" customWidth="1"/>
    <col min="3844" max="3844" width="8" style="279" customWidth="1"/>
    <col min="3845" max="3845" width="10.28515625" style="279" customWidth="1"/>
    <col min="3846" max="3846" width="7.140625" style="279" customWidth="1"/>
    <col min="3847" max="3847" width="6.85546875" style="279" customWidth="1"/>
    <col min="3848" max="3848" width="11.7109375" style="279" customWidth="1"/>
    <col min="3849" max="3849" width="11.5703125" style="279" customWidth="1"/>
    <col min="3850" max="3850" width="9.140625" style="279"/>
    <col min="3851" max="3851" width="10.5703125" style="279" bestFit="1" customWidth="1"/>
    <col min="3852" max="3852" width="9.140625" style="279"/>
    <col min="3853" max="3853" width="12.140625" style="279" customWidth="1"/>
    <col min="3854" max="4095" width="9.140625" style="279"/>
    <col min="4096" max="4096" width="4" style="279" customWidth="1"/>
    <col min="4097" max="4097" width="10.5703125" style="279" customWidth="1"/>
    <col min="4098" max="4098" width="11.140625" style="279" customWidth="1"/>
    <col min="4099" max="4099" width="8.7109375" style="279" customWidth="1"/>
    <col min="4100" max="4100" width="8" style="279" customWidth="1"/>
    <col min="4101" max="4101" width="10.28515625" style="279" customWidth="1"/>
    <col min="4102" max="4102" width="7.140625" style="279" customWidth="1"/>
    <col min="4103" max="4103" width="6.85546875" style="279" customWidth="1"/>
    <col min="4104" max="4104" width="11.7109375" style="279" customWidth="1"/>
    <col min="4105" max="4105" width="11.5703125" style="279" customWidth="1"/>
    <col min="4106" max="4106" width="9.140625" style="279"/>
    <col min="4107" max="4107" width="10.5703125" style="279" bestFit="1" customWidth="1"/>
    <col min="4108" max="4108" width="9.140625" style="279"/>
    <col min="4109" max="4109" width="12.140625" style="279" customWidth="1"/>
    <col min="4110" max="4351" width="9.140625" style="279"/>
    <col min="4352" max="4352" width="4" style="279" customWidth="1"/>
    <col min="4353" max="4353" width="10.5703125" style="279" customWidth="1"/>
    <col min="4354" max="4354" width="11.140625" style="279" customWidth="1"/>
    <col min="4355" max="4355" width="8.7109375" style="279" customWidth="1"/>
    <col min="4356" max="4356" width="8" style="279" customWidth="1"/>
    <col min="4357" max="4357" width="10.28515625" style="279" customWidth="1"/>
    <col min="4358" max="4358" width="7.140625" style="279" customWidth="1"/>
    <col min="4359" max="4359" width="6.85546875" style="279" customWidth="1"/>
    <col min="4360" max="4360" width="11.7109375" style="279" customWidth="1"/>
    <col min="4361" max="4361" width="11.5703125" style="279" customWidth="1"/>
    <col min="4362" max="4362" width="9.140625" style="279"/>
    <col min="4363" max="4363" width="10.5703125" style="279" bestFit="1" customWidth="1"/>
    <col min="4364" max="4364" width="9.140625" style="279"/>
    <col min="4365" max="4365" width="12.140625" style="279" customWidth="1"/>
    <col min="4366" max="4607" width="9.140625" style="279"/>
    <col min="4608" max="4608" width="4" style="279" customWidth="1"/>
    <col min="4609" max="4609" width="10.5703125" style="279" customWidth="1"/>
    <col min="4610" max="4610" width="11.140625" style="279" customWidth="1"/>
    <col min="4611" max="4611" width="8.7109375" style="279" customWidth="1"/>
    <col min="4612" max="4612" width="8" style="279" customWidth="1"/>
    <col min="4613" max="4613" width="10.28515625" style="279" customWidth="1"/>
    <col min="4614" max="4614" width="7.140625" style="279" customWidth="1"/>
    <col min="4615" max="4615" width="6.85546875" style="279" customWidth="1"/>
    <col min="4616" max="4616" width="11.7109375" style="279" customWidth="1"/>
    <col min="4617" max="4617" width="11.5703125" style="279" customWidth="1"/>
    <col min="4618" max="4618" width="9.140625" style="279"/>
    <col min="4619" max="4619" width="10.5703125" style="279" bestFit="1" customWidth="1"/>
    <col min="4620" max="4620" width="9.140625" style="279"/>
    <col min="4621" max="4621" width="12.140625" style="279" customWidth="1"/>
    <col min="4622" max="4863" width="9.140625" style="279"/>
    <col min="4864" max="4864" width="4" style="279" customWidth="1"/>
    <col min="4865" max="4865" width="10.5703125" style="279" customWidth="1"/>
    <col min="4866" max="4866" width="11.140625" style="279" customWidth="1"/>
    <col min="4867" max="4867" width="8.7109375" style="279" customWidth="1"/>
    <col min="4868" max="4868" width="8" style="279" customWidth="1"/>
    <col min="4869" max="4869" width="10.28515625" style="279" customWidth="1"/>
    <col min="4870" max="4870" width="7.140625" style="279" customWidth="1"/>
    <col min="4871" max="4871" width="6.85546875" style="279" customWidth="1"/>
    <col min="4872" max="4872" width="11.7109375" style="279" customWidth="1"/>
    <col min="4873" max="4873" width="11.5703125" style="279" customWidth="1"/>
    <col min="4874" max="4874" width="9.140625" style="279"/>
    <col min="4875" max="4875" width="10.5703125" style="279" bestFit="1" customWidth="1"/>
    <col min="4876" max="4876" width="9.140625" style="279"/>
    <col min="4877" max="4877" width="12.140625" style="279" customWidth="1"/>
    <col min="4878" max="5119" width="9.140625" style="279"/>
    <col min="5120" max="5120" width="4" style="279" customWidth="1"/>
    <col min="5121" max="5121" width="10.5703125" style="279" customWidth="1"/>
    <col min="5122" max="5122" width="11.140625" style="279" customWidth="1"/>
    <col min="5123" max="5123" width="8.7109375" style="279" customWidth="1"/>
    <col min="5124" max="5124" width="8" style="279" customWidth="1"/>
    <col min="5125" max="5125" width="10.28515625" style="279" customWidth="1"/>
    <col min="5126" max="5126" width="7.140625" style="279" customWidth="1"/>
    <col min="5127" max="5127" width="6.85546875" style="279" customWidth="1"/>
    <col min="5128" max="5128" width="11.7109375" style="279" customWidth="1"/>
    <col min="5129" max="5129" width="11.5703125" style="279" customWidth="1"/>
    <col min="5130" max="5130" width="9.140625" style="279"/>
    <col min="5131" max="5131" width="10.5703125" style="279" bestFit="1" customWidth="1"/>
    <col min="5132" max="5132" width="9.140625" style="279"/>
    <col min="5133" max="5133" width="12.140625" style="279" customWidth="1"/>
    <col min="5134" max="5375" width="9.140625" style="279"/>
    <col min="5376" max="5376" width="4" style="279" customWidth="1"/>
    <col min="5377" max="5377" width="10.5703125" style="279" customWidth="1"/>
    <col min="5378" max="5378" width="11.140625" style="279" customWidth="1"/>
    <col min="5379" max="5379" width="8.7109375" style="279" customWidth="1"/>
    <col min="5380" max="5380" width="8" style="279" customWidth="1"/>
    <col min="5381" max="5381" width="10.28515625" style="279" customWidth="1"/>
    <col min="5382" max="5382" width="7.140625" style="279" customWidth="1"/>
    <col min="5383" max="5383" width="6.85546875" style="279" customWidth="1"/>
    <col min="5384" max="5384" width="11.7109375" style="279" customWidth="1"/>
    <col min="5385" max="5385" width="11.5703125" style="279" customWidth="1"/>
    <col min="5386" max="5386" width="9.140625" style="279"/>
    <col min="5387" max="5387" width="10.5703125" style="279" bestFit="1" customWidth="1"/>
    <col min="5388" max="5388" width="9.140625" style="279"/>
    <col min="5389" max="5389" width="12.140625" style="279" customWidth="1"/>
    <col min="5390" max="5631" width="9.140625" style="279"/>
    <col min="5632" max="5632" width="4" style="279" customWidth="1"/>
    <col min="5633" max="5633" width="10.5703125" style="279" customWidth="1"/>
    <col min="5634" max="5634" width="11.140625" style="279" customWidth="1"/>
    <col min="5635" max="5635" width="8.7109375" style="279" customWidth="1"/>
    <col min="5636" max="5636" width="8" style="279" customWidth="1"/>
    <col min="5637" max="5637" width="10.28515625" style="279" customWidth="1"/>
    <col min="5638" max="5638" width="7.140625" style="279" customWidth="1"/>
    <col min="5639" max="5639" width="6.85546875" style="279" customWidth="1"/>
    <col min="5640" max="5640" width="11.7109375" style="279" customWidth="1"/>
    <col min="5641" max="5641" width="11.5703125" style="279" customWidth="1"/>
    <col min="5642" max="5642" width="9.140625" style="279"/>
    <col min="5643" max="5643" width="10.5703125" style="279" bestFit="1" customWidth="1"/>
    <col min="5644" max="5644" width="9.140625" style="279"/>
    <col min="5645" max="5645" width="12.140625" style="279" customWidth="1"/>
    <col min="5646" max="5887" width="9.140625" style="279"/>
    <col min="5888" max="5888" width="4" style="279" customWidth="1"/>
    <col min="5889" max="5889" width="10.5703125" style="279" customWidth="1"/>
    <col min="5890" max="5890" width="11.140625" style="279" customWidth="1"/>
    <col min="5891" max="5891" width="8.7109375" style="279" customWidth="1"/>
    <col min="5892" max="5892" width="8" style="279" customWidth="1"/>
    <col min="5893" max="5893" width="10.28515625" style="279" customWidth="1"/>
    <col min="5894" max="5894" width="7.140625" style="279" customWidth="1"/>
    <col min="5895" max="5895" width="6.85546875" style="279" customWidth="1"/>
    <col min="5896" max="5896" width="11.7109375" style="279" customWidth="1"/>
    <col min="5897" max="5897" width="11.5703125" style="279" customWidth="1"/>
    <col min="5898" max="5898" width="9.140625" style="279"/>
    <col min="5899" max="5899" width="10.5703125" style="279" bestFit="1" customWidth="1"/>
    <col min="5900" max="5900" width="9.140625" style="279"/>
    <col min="5901" max="5901" width="12.140625" style="279" customWidth="1"/>
    <col min="5902" max="6143" width="9.140625" style="279"/>
    <col min="6144" max="6144" width="4" style="279" customWidth="1"/>
    <col min="6145" max="6145" width="10.5703125" style="279" customWidth="1"/>
    <col min="6146" max="6146" width="11.140625" style="279" customWidth="1"/>
    <col min="6147" max="6147" width="8.7109375" style="279" customWidth="1"/>
    <col min="6148" max="6148" width="8" style="279" customWidth="1"/>
    <col min="6149" max="6149" width="10.28515625" style="279" customWidth="1"/>
    <col min="6150" max="6150" width="7.140625" style="279" customWidth="1"/>
    <col min="6151" max="6151" width="6.85546875" style="279" customWidth="1"/>
    <col min="6152" max="6152" width="11.7109375" style="279" customWidth="1"/>
    <col min="6153" max="6153" width="11.5703125" style="279" customWidth="1"/>
    <col min="6154" max="6154" width="9.140625" style="279"/>
    <col min="6155" max="6155" width="10.5703125" style="279" bestFit="1" customWidth="1"/>
    <col min="6156" max="6156" width="9.140625" style="279"/>
    <col min="6157" max="6157" width="12.140625" style="279" customWidth="1"/>
    <col min="6158" max="6399" width="9.140625" style="279"/>
    <col min="6400" max="6400" width="4" style="279" customWidth="1"/>
    <col min="6401" max="6401" width="10.5703125" style="279" customWidth="1"/>
    <col min="6402" max="6402" width="11.140625" style="279" customWidth="1"/>
    <col min="6403" max="6403" width="8.7109375" style="279" customWidth="1"/>
    <col min="6404" max="6404" width="8" style="279" customWidth="1"/>
    <col min="6405" max="6405" width="10.28515625" style="279" customWidth="1"/>
    <col min="6406" max="6406" width="7.140625" style="279" customWidth="1"/>
    <col min="6407" max="6407" width="6.85546875" style="279" customWidth="1"/>
    <col min="6408" max="6408" width="11.7109375" style="279" customWidth="1"/>
    <col min="6409" max="6409" width="11.5703125" style="279" customWidth="1"/>
    <col min="6410" max="6410" width="9.140625" style="279"/>
    <col min="6411" max="6411" width="10.5703125" style="279" bestFit="1" customWidth="1"/>
    <col min="6412" max="6412" width="9.140625" style="279"/>
    <col min="6413" max="6413" width="12.140625" style="279" customWidth="1"/>
    <col min="6414" max="6655" width="9.140625" style="279"/>
    <col min="6656" max="6656" width="4" style="279" customWidth="1"/>
    <col min="6657" max="6657" width="10.5703125" style="279" customWidth="1"/>
    <col min="6658" max="6658" width="11.140625" style="279" customWidth="1"/>
    <col min="6659" max="6659" width="8.7109375" style="279" customWidth="1"/>
    <col min="6660" max="6660" width="8" style="279" customWidth="1"/>
    <col min="6661" max="6661" width="10.28515625" style="279" customWidth="1"/>
    <col min="6662" max="6662" width="7.140625" style="279" customWidth="1"/>
    <col min="6663" max="6663" width="6.85546875" style="279" customWidth="1"/>
    <col min="6664" max="6664" width="11.7109375" style="279" customWidth="1"/>
    <col min="6665" max="6665" width="11.5703125" style="279" customWidth="1"/>
    <col min="6666" max="6666" width="9.140625" style="279"/>
    <col min="6667" max="6667" width="10.5703125" style="279" bestFit="1" customWidth="1"/>
    <col min="6668" max="6668" width="9.140625" style="279"/>
    <col min="6669" max="6669" width="12.140625" style="279" customWidth="1"/>
    <col min="6670" max="6911" width="9.140625" style="279"/>
    <col min="6912" max="6912" width="4" style="279" customWidth="1"/>
    <col min="6913" max="6913" width="10.5703125" style="279" customWidth="1"/>
    <col min="6914" max="6914" width="11.140625" style="279" customWidth="1"/>
    <col min="6915" max="6915" width="8.7109375" style="279" customWidth="1"/>
    <col min="6916" max="6916" width="8" style="279" customWidth="1"/>
    <col min="6917" max="6917" width="10.28515625" style="279" customWidth="1"/>
    <col min="6918" max="6918" width="7.140625" style="279" customWidth="1"/>
    <col min="6919" max="6919" width="6.85546875" style="279" customWidth="1"/>
    <col min="6920" max="6920" width="11.7109375" style="279" customWidth="1"/>
    <col min="6921" max="6921" width="11.5703125" style="279" customWidth="1"/>
    <col min="6922" max="6922" width="9.140625" style="279"/>
    <col min="6923" max="6923" width="10.5703125" style="279" bestFit="1" customWidth="1"/>
    <col min="6924" max="6924" width="9.140625" style="279"/>
    <col min="6925" max="6925" width="12.140625" style="279" customWidth="1"/>
    <col min="6926" max="7167" width="9.140625" style="279"/>
    <col min="7168" max="7168" width="4" style="279" customWidth="1"/>
    <col min="7169" max="7169" width="10.5703125" style="279" customWidth="1"/>
    <col min="7170" max="7170" width="11.140625" style="279" customWidth="1"/>
    <col min="7171" max="7171" width="8.7109375" style="279" customWidth="1"/>
    <col min="7172" max="7172" width="8" style="279" customWidth="1"/>
    <col min="7173" max="7173" width="10.28515625" style="279" customWidth="1"/>
    <col min="7174" max="7174" width="7.140625" style="279" customWidth="1"/>
    <col min="7175" max="7175" width="6.85546875" style="279" customWidth="1"/>
    <col min="7176" max="7176" width="11.7109375" style="279" customWidth="1"/>
    <col min="7177" max="7177" width="11.5703125" style="279" customWidth="1"/>
    <col min="7178" max="7178" width="9.140625" style="279"/>
    <col min="7179" max="7179" width="10.5703125" style="279" bestFit="1" customWidth="1"/>
    <col min="7180" max="7180" width="9.140625" style="279"/>
    <col min="7181" max="7181" width="12.140625" style="279" customWidth="1"/>
    <col min="7182" max="7423" width="9.140625" style="279"/>
    <col min="7424" max="7424" width="4" style="279" customWidth="1"/>
    <col min="7425" max="7425" width="10.5703125" style="279" customWidth="1"/>
    <col min="7426" max="7426" width="11.140625" style="279" customWidth="1"/>
    <col min="7427" max="7427" width="8.7109375" style="279" customWidth="1"/>
    <col min="7428" max="7428" width="8" style="279" customWidth="1"/>
    <col min="7429" max="7429" width="10.28515625" style="279" customWidth="1"/>
    <col min="7430" max="7430" width="7.140625" style="279" customWidth="1"/>
    <col min="7431" max="7431" width="6.85546875" style="279" customWidth="1"/>
    <col min="7432" max="7432" width="11.7109375" style="279" customWidth="1"/>
    <col min="7433" max="7433" width="11.5703125" style="279" customWidth="1"/>
    <col min="7434" max="7434" width="9.140625" style="279"/>
    <col min="7435" max="7435" width="10.5703125" style="279" bestFit="1" customWidth="1"/>
    <col min="7436" max="7436" width="9.140625" style="279"/>
    <col min="7437" max="7437" width="12.140625" style="279" customWidth="1"/>
    <col min="7438" max="7679" width="9.140625" style="279"/>
    <col min="7680" max="7680" width="4" style="279" customWidth="1"/>
    <col min="7681" max="7681" width="10.5703125" style="279" customWidth="1"/>
    <col min="7682" max="7682" width="11.140625" style="279" customWidth="1"/>
    <col min="7683" max="7683" width="8.7109375" style="279" customWidth="1"/>
    <col min="7684" max="7684" width="8" style="279" customWidth="1"/>
    <col min="7685" max="7685" width="10.28515625" style="279" customWidth="1"/>
    <col min="7686" max="7686" width="7.140625" style="279" customWidth="1"/>
    <col min="7687" max="7687" width="6.85546875" style="279" customWidth="1"/>
    <col min="7688" max="7688" width="11.7109375" style="279" customWidth="1"/>
    <col min="7689" max="7689" width="11.5703125" style="279" customWidth="1"/>
    <col min="7690" max="7690" width="9.140625" style="279"/>
    <col min="7691" max="7691" width="10.5703125" style="279" bestFit="1" customWidth="1"/>
    <col min="7692" max="7692" width="9.140625" style="279"/>
    <col min="7693" max="7693" width="12.140625" style="279" customWidth="1"/>
    <col min="7694" max="7935" width="9.140625" style="279"/>
    <col min="7936" max="7936" width="4" style="279" customWidth="1"/>
    <col min="7937" max="7937" width="10.5703125" style="279" customWidth="1"/>
    <col min="7938" max="7938" width="11.140625" style="279" customWidth="1"/>
    <col min="7939" max="7939" width="8.7109375" style="279" customWidth="1"/>
    <col min="7940" max="7940" width="8" style="279" customWidth="1"/>
    <col min="7941" max="7941" width="10.28515625" style="279" customWidth="1"/>
    <col min="7942" max="7942" width="7.140625" style="279" customWidth="1"/>
    <col min="7943" max="7943" width="6.85546875" style="279" customWidth="1"/>
    <col min="7944" max="7944" width="11.7109375" style="279" customWidth="1"/>
    <col min="7945" max="7945" width="11.5703125" style="279" customWidth="1"/>
    <col min="7946" max="7946" width="9.140625" style="279"/>
    <col min="7947" max="7947" width="10.5703125" style="279" bestFit="1" customWidth="1"/>
    <col min="7948" max="7948" width="9.140625" style="279"/>
    <col min="7949" max="7949" width="12.140625" style="279" customWidth="1"/>
    <col min="7950" max="8191" width="9.140625" style="279"/>
    <col min="8192" max="8192" width="4" style="279" customWidth="1"/>
    <col min="8193" max="8193" width="10.5703125" style="279" customWidth="1"/>
    <col min="8194" max="8194" width="11.140625" style="279" customWidth="1"/>
    <col min="8195" max="8195" width="8.7109375" style="279" customWidth="1"/>
    <col min="8196" max="8196" width="8" style="279" customWidth="1"/>
    <col min="8197" max="8197" width="10.28515625" style="279" customWidth="1"/>
    <col min="8198" max="8198" width="7.140625" style="279" customWidth="1"/>
    <col min="8199" max="8199" width="6.85546875" style="279" customWidth="1"/>
    <col min="8200" max="8200" width="11.7109375" style="279" customWidth="1"/>
    <col min="8201" max="8201" width="11.5703125" style="279" customWidth="1"/>
    <col min="8202" max="8202" width="9.140625" style="279"/>
    <col min="8203" max="8203" width="10.5703125" style="279" bestFit="1" customWidth="1"/>
    <col min="8204" max="8204" width="9.140625" style="279"/>
    <col min="8205" max="8205" width="12.140625" style="279" customWidth="1"/>
    <col min="8206" max="8447" width="9.140625" style="279"/>
    <col min="8448" max="8448" width="4" style="279" customWidth="1"/>
    <col min="8449" max="8449" width="10.5703125" style="279" customWidth="1"/>
    <col min="8450" max="8450" width="11.140625" style="279" customWidth="1"/>
    <col min="8451" max="8451" width="8.7109375" style="279" customWidth="1"/>
    <col min="8452" max="8452" width="8" style="279" customWidth="1"/>
    <col min="8453" max="8453" width="10.28515625" style="279" customWidth="1"/>
    <col min="8454" max="8454" width="7.140625" style="279" customWidth="1"/>
    <col min="8455" max="8455" width="6.85546875" style="279" customWidth="1"/>
    <col min="8456" max="8456" width="11.7109375" style="279" customWidth="1"/>
    <col min="8457" max="8457" width="11.5703125" style="279" customWidth="1"/>
    <col min="8458" max="8458" width="9.140625" style="279"/>
    <col min="8459" max="8459" width="10.5703125" style="279" bestFit="1" customWidth="1"/>
    <col min="8460" max="8460" width="9.140625" style="279"/>
    <col min="8461" max="8461" width="12.140625" style="279" customWidth="1"/>
    <col min="8462" max="8703" width="9.140625" style="279"/>
    <col min="8704" max="8704" width="4" style="279" customWidth="1"/>
    <col min="8705" max="8705" width="10.5703125" style="279" customWidth="1"/>
    <col min="8706" max="8706" width="11.140625" style="279" customWidth="1"/>
    <col min="8707" max="8707" width="8.7109375" style="279" customWidth="1"/>
    <col min="8708" max="8708" width="8" style="279" customWidth="1"/>
    <col min="8709" max="8709" width="10.28515625" style="279" customWidth="1"/>
    <col min="8710" max="8710" width="7.140625" style="279" customWidth="1"/>
    <col min="8711" max="8711" width="6.85546875" style="279" customWidth="1"/>
    <col min="8712" max="8712" width="11.7109375" style="279" customWidth="1"/>
    <col min="8713" max="8713" width="11.5703125" style="279" customWidth="1"/>
    <col min="8714" max="8714" width="9.140625" style="279"/>
    <col min="8715" max="8715" width="10.5703125" style="279" bestFit="1" customWidth="1"/>
    <col min="8716" max="8716" width="9.140625" style="279"/>
    <col min="8717" max="8717" width="12.140625" style="279" customWidth="1"/>
    <col min="8718" max="8959" width="9.140625" style="279"/>
    <col min="8960" max="8960" width="4" style="279" customWidth="1"/>
    <col min="8961" max="8961" width="10.5703125" style="279" customWidth="1"/>
    <col min="8962" max="8962" width="11.140625" style="279" customWidth="1"/>
    <col min="8963" max="8963" width="8.7109375" style="279" customWidth="1"/>
    <col min="8964" max="8964" width="8" style="279" customWidth="1"/>
    <col min="8965" max="8965" width="10.28515625" style="279" customWidth="1"/>
    <col min="8966" max="8966" width="7.140625" style="279" customWidth="1"/>
    <col min="8967" max="8967" width="6.85546875" style="279" customWidth="1"/>
    <col min="8968" max="8968" width="11.7109375" style="279" customWidth="1"/>
    <col min="8969" max="8969" width="11.5703125" style="279" customWidth="1"/>
    <col min="8970" max="8970" width="9.140625" style="279"/>
    <col min="8971" max="8971" width="10.5703125" style="279" bestFit="1" customWidth="1"/>
    <col min="8972" max="8972" width="9.140625" style="279"/>
    <col min="8973" max="8973" width="12.140625" style="279" customWidth="1"/>
    <col min="8974" max="9215" width="9.140625" style="279"/>
    <col min="9216" max="9216" width="4" style="279" customWidth="1"/>
    <col min="9217" max="9217" width="10.5703125" style="279" customWidth="1"/>
    <col min="9218" max="9218" width="11.140625" style="279" customWidth="1"/>
    <col min="9219" max="9219" width="8.7109375" style="279" customWidth="1"/>
    <col min="9220" max="9220" width="8" style="279" customWidth="1"/>
    <col min="9221" max="9221" width="10.28515625" style="279" customWidth="1"/>
    <col min="9222" max="9222" width="7.140625" style="279" customWidth="1"/>
    <col min="9223" max="9223" width="6.85546875" style="279" customWidth="1"/>
    <col min="9224" max="9224" width="11.7109375" style="279" customWidth="1"/>
    <col min="9225" max="9225" width="11.5703125" style="279" customWidth="1"/>
    <col min="9226" max="9226" width="9.140625" style="279"/>
    <col min="9227" max="9227" width="10.5703125" style="279" bestFit="1" customWidth="1"/>
    <col min="9228" max="9228" width="9.140625" style="279"/>
    <col min="9229" max="9229" width="12.140625" style="279" customWidth="1"/>
    <col min="9230" max="9471" width="9.140625" style="279"/>
    <col min="9472" max="9472" width="4" style="279" customWidth="1"/>
    <col min="9473" max="9473" width="10.5703125" style="279" customWidth="1"/>
    <col min="9474" max="9474" width="11.140625" style="279" customWidth="1"/>
    <col min="9475" max="9475" width="8.7109375" style="279" customWidth="1"/>
    <col min="9476" max="9476" width="8" style="279" customWidth="1"/>
    <col min="9477" max="9477" width="10.28515625" style="279" customWidth="1"/>
    <col min="9478" max="9478" width="7.140625" style="279" customWidth="1"/>
    <col min="9479" max="9479" width="6.85546875" style="279" customWidth="1"/>
    <col min="9480" max="9480" width="11.7109375" style="279" customWidth="1"/>
    <col min="9481" max="9481" width="11.5703125" style="279" customWidth="1"/>
    <col min="9482" max="9482" width="9.140625" style="279"/>
    <col min="9483" max="9483" width="10.5703125" style="279" bestFit="1" customWidth="1"/>
    <col min="9484" max="9484" width="9.140625" style="279"/>
    <col min="9485" max="9485" width="12.140625" style="279" customWidth="1"/>
    <col min="9486" max="9727" width="9.140625" style="279"/>
    <col min="9728" max="9728" width="4" style="279" customWidth="1"/>
    <col min="9729" max="9729" width="10.5703125" style="279" customWidth="1"/>
    <col min="9730" max="9730" width="11.140625" style="279" customWidth="1"/>
    <col min="9731" max="9731" width="8.7109375" style="279" customWidth="1"/>
    <col min="9732" max="9732" width="8" style="279" customWidth="1"/>
    <col min="9733" max="9733" width="10.28515625" style="279" customWidth="1"/>
    <col min="9734" max="9734" width="7.140625" style="279" customWidth="1"/>
    <col min="9735" max="9735" width="6.85546875" style="279" customWidth="1"/>
    <col min="9736" max="9736" width="11.7109375" style="279" customWidth="1"/>
    <col min="9737" max="9737" width="11.5703125" style="279" customWidth="1"/>
    <col min="9738" max="9738" width="9.140625" style="279"/>
    <col min="9739" max="9739" width="10.5703125" style="279" bestFit="1" customWidth="1"/>
    <col min="9740" max="9740" width="9.140625" style="279"/>
    <col min="9741" max="9741" width="12.140625" style="279" customWidth="1"/>
    <col min="9742" max="9983" width="9.140625" style="279"/>
    <col min="9984" max="9984" width="4" style="279" customWidth="1"/>
    <col min="9985" max="9985" width="10.5703125" style="279" customWidth="1"/>
    <col min="9986" max="9986" width="11.140625" style="279" customWidth="1"/>
    <col min="9987" max="9987" width="8.7109375" style="279" customWidth="1"/>
    <col min="9988" max="9988" width="8" style="279" customWidth="1"/>
    <col min="9989" max="9989" width="10.28515625" style="279" customWidth="1"/>
    <col min="9990" max="9990" width="7.140625" style="279" customWidth="1"/>
    <col min="9991" max="9991" width="6.85546875" style="279" customWidth="1"/>
    <col min="9992" max="9992" width="11.7109375" style="279" customWidth="1"/>
    <col min="9993" max="9993" width="11.5703125" style="279" customWidth="1"/>
    <col min="9994" max="9994" width="9.140625" style="279"/>
    <col min="9995" max="9995" width="10.5703125" style="279" bestFit="1" customWidth="1"/>
    <col min="9996" max="9996" width="9.140625" style="279"/>
    <col min="9997" max="9997" width="12.140625" style="279" customWidth="1"/>
    <col min="9998" max="10239" width="9.140625" style="279"/>
    <col min="10240" max="10240" width="4" style="279" customWidth="1"/>
    <col min="10241" max="10241" width="10.5703125" style="279" customWidth="1"/>
    <col min="10242" max="10242" width="11.140625" style="279" customWidth="1"/>
    <col min="10243" max="10243" width="8.7109375" style="279" customWidth="1"/>
    <col min="10244" max="10244" width="8" style="279" customWidth="1"/>
    <col min="10245" max="10245" width="10.28515625" style="279" customWidth="1"/>
    <col min="10246" max="10246" width="7.140625" style="279" customWidth="1"/>
    <col min="10247" max="10247" width="6.85546875" style="279" customWidth="1"/>
    <col min="10248" max="10248" width="11.7109375" style="279" customWidth="1"/>
    <col min="10249" max="10249" width="11.5703125" style="279" customWidth="1"/>
    <col min="10250" max="10250" width="9.140625" style="279"/>
    <col min="10251" max="10251" width="10.5703125" style="279" bestFit="1" customWidth="1"/>
    <col min="10252" max="10252" width="9.140625" style="279"/>
    <col min="10253" max="10253" width="12.140625" style="279" customWidth="1"/>
    <col min="10254" max="10495" width="9.140625" style="279"/>
    <col min="10496" max="10496" width="4" style="279" customWidth="1"/>
    <col min="10497" max="10497" width="10.5703125" style="279" customWidth="1"/>
    <col min="10498" max="10498" width="11.140625" style="279" customWidth="1"/>
    <col min="10499" max="10499" width="8.7109375" style="279" customWidth="1"/>
    <col min="10500" max="10500" width="8" style="279" customWidth="1"/>
    <col min="10501" max="10501" width="10.28515625" style="279" customWidth="1"/>
    <col min="10502" max="10502" width="7.140625" style="279" customWidth="1"/>
    <col min="10503" max="10503" width="6.85546875" style="279" customWidth="1"/>
    <col min="10504" max="10504" width="11.7109375" style="279" customWidth="1"/>
    <col min="10505" max="10505" width="11.5703125" style="279" customWidth="1"/>
    <col min="10506" max="10506" width="9.140625" style="279"/>
    <col min="10507" max="10507" width="10.5703125" style="279" bestFit="1" customWidth="1"/>
    <col min="10508" max="10508" width="9.140625" style="279"/>
    <col min="10509" max="10509" width="12.140625" style="279" customWidth="1"/>
    <col min="10510" max="10751" width="9.140625" style="279"/>
    <col min="10752" max="10752" width="4" style="279" customWidth="1"/>
    <col min="10753" max="10753" width="10.5703125" style="279" customWidth="1"/>
    <col min="10754" max="10754" width="11.140625" style="279" customWidth="1"/>
    <col min="10755" max="10755" width="8.7109375" style="279" customWidth="1"/>
    <col min="10756" max="10756" width="8" style="279" customWidth="1"/>
    <col min="10757" max="10757" width="10.28515625" style="279" customWidth="1"/>
    <col min="10758" max="10758" width="7.140625" style="279" customWidth="1"/>
    <col min="10759" max="10759" width="6.85546875" style="279" customWidth="1"/>
    <col min="10760" max="10760" width="11.7109375" style="279" customWidth="1"/>
    <col min="10761" max="10761" width="11.5703125" style="279" customWidth="1"/>
    <col min="10762" max="10762" width="9.140625" style="279"/>
    <col min="10763" max="10763" width="10.5703125" style="279" bestFit="1" customWidth="1"/>
    <col min="10764" max="10764" width="9.140625" style="279"/>
    <col min="10765" max="10765" width="12.140625" style="279" customWidth="1"/>
    <col min="10766" max="11007" width="9.140625" style="279"/>
    <col min="11008" max="11008" width="4" style="279" customWidth="1"/>
    <col min="11009" max="11009" width="10.5703125" style="279" customWidth="1"/>
    <col min="11010" max="11010" width="11.140625" style="279" customWidth="1"/>
    <col min="11011" max="11011" width="8.7109375" style="279" customWidth="1"/>
    <col min="11012" max="11012" width="8" style="279" customWidth="1"/>
    <col min="11013" max="11013" width="10.28515625" style="279" customWidth="1"/>
    <col min="11014" max="11014" width="7.140625" style="279" customWidth="1"/>
    <col min="11015" max="11015" width="6.85546875" style="279" customWidth="1"/>
    <col min="11016" max="11016" width="11.7109375" style="279" customWidth="1"/>
    <col min="11017" max="11017" width="11.5703125" style="279" customWidth="1"/>
    <col min="11018" max="11018" width="9.140625" style="279"/>
    <col min="11019" max="11019" width="10.5703125" style="279" bestFit="1" customWidth="1"/>
    <col min="11020" max="11020" width="9.140625" style="279"/>
    <col min="11021" max="11021" width="12.140625" style="279" customWidth="1"/>
    <col min="11022" max="11263" width="9.140625" style="279"/>
    <col min="11264" max="11264" width="4" style="279" customWidth="1"/>
    <col min="11265" max="11265" width="10.5703125" style="279" customWidth="1"/>
    <col min="11266" max="11266" width="11.140625" style="279" customWidth="1"/>
    <col min="11267" max="11267" width="8.7109375" style="279" customWidth="1"/>
    <col min="11268" max="11268" width="8" style="279" customWidth="1"/>
    <col min="11269" max="11269" width="10.28515625" style="279" customWidth="1"/>
    <col min="11270" max="11270" width="7.140625" style="279" customWidth="1"/>
    <col min="11271" max="11271" width="6.85546875" style="279" customWidth="1"/>
    <col min="11272" max="11272" width="11.7109375" style="279" customWidth="1"/>
    <col min="11273" max="11273" width="11.5703125" style="279" customWidth="1"/>
    <col min="11274" max="11274" width="9.140625" style="279"/>
    <col min="11275" max="11275" width="10.5703125" style="279" bestFit="1" customWidth="1"/>
    <col min="11276" max="11276" width="9.140625" style="279"/>
    <col min="11277" max="11277" width="12.140625" style="279" customWidth="1"/>
    <col min="11278" max="11519" width="9.140625" style="279"/>
    <col min="11520" max="11520" width="4" style="279" customWidth="1"/>
    <col min="11521" max="11521" width="10.5703125" style="279" customWidth="1"/>
    <col min="11522" max="11522" width="11.140625" style="279" customWidth="1"/>
    <col min="11523" max="11523" width="8.7109375" style="279" customWidth="1"/>
    <col min="11524" max="11524" width="8" style="279" customWidth="1"/>
    <col min="11525" max="11525" width="10.28515625" style="279" customWidth="1"/>
    <col min="11526" max="11526" width="7.140625" style="279" customWidth="1"/>
    <col min="11527" max="11527" width="6.85546875" style="279" customWidth="1"/>
    <col min="11528" max="11528" width="11.7109375" style="279" customWidth="1"/>
    <col min="11529" max="11529" width="11.5703125" style="279" customWidth="1"/>
    <col min="11530" max="11530" width="9.140625" style="279"/>
    <col min="11531" max="11531" width="10.5703125" style="279" bestFit="1" customWidth="1"/>
    <col min="11532" max="11532" width="9.140625" style="279"/>
    <col min="11533" max="11533" width="12.140625" style="279" customWidth="1"/>
    <col min="11534" max="11775" width="9.140625" style="279"/>
    <col min="11776" max="11776" width="4" style="279" customWidth="1"/>
    <col min="11777" max="11777" width="10.5703125" style="279" customWidth="1"/>
    <col min="11778" max="11778" width="11.140625" style="279" customWidth="1"/>
    <col min="11779" max="11779" width="8.7109375" style="279" customWidth="1"/>
    <col min="11780" max="11780" width="8" style="279" customWidth="1"/>
    <col min="11781" max="11781" width="10.28515625" style="279" customWidth="1"/>
    <col min="11782" max="11782" width="7.140625" style="279" customWidth="1"/>
    <col min="11783" max="11783" width="6.85546875" style="279" customWidth="1"/>
    <col min="11784" max="11784" width="11.7109375" style="279" customWidth="1"/>
    <col min="11785" max="11785" width="11.5703125" style="279" customWidth="1"/>
    <col min="11786" max="11786" width="9.140625" style="279"/>
    <col min="11787" max="11787" width="10.5703125" style="279" bestFit="1" customWidth="1"/>
    <col min="11788" max="11788" width="9.140625" style="279"/>
    <col min="11789" max="11789" width="12.140625" style="279" customWidth="1"/>
    <col min="11790" max="12031" width="9.140625" style="279"/>
    <col min="12032" max="12032" width="4" style="279" customWidth="1"/>
    <col min="12033" max="12033" width="10.5703125" style="279" customWidth="1"/>
    <col min="12034" max="12034" width="11.140625" style="279" customWidth="1"/>
    <col min="12035" max="12035" width="8.7109375" style="279" customWidth="1"/>
    <col min="12036" max="12036" width="8" style="279" customWidth="1"/>
    <col min="12037" max="12037" width="10.28515625" style="279" customWidth="1"/>
    <col min="12038" max="12038" width="7.140625" style="279" customWidth="1"/>
    <col min="12039" max="12039" width="6.85546875" style="279" customWidth="1"/>
    <col min="12040" max="12040" width="11.7109375" style="279" customWidth="1"/>
    <col min="12041" max="12041" width="11.5703125" style="279" customWidth="1"/>
    <col min="12042" max="12042" width="9.140625" style="279"/>
    <col min="12043" max="12043" width="10.5703125" style="279" bestFit="1" customWidth="1"/>
    <col min="12044" max="12044" width="9.140625" style="279"/>
    <col min="12045" max="12045" width="12.140625" style="279" customWidth="1"/>
    <col min="12046" max="12287" width="9.140625" style="279"/>
    <col min="12288" max="12288" width="4" style="279" customWidth="1"/>
    <col min="12289" max="12289" width="10.5703125" style="279" customWidth="1"/>
    <col min="12290" max="12290" width="11.140625" style="279" customWidth="1"/>
    <col min="12291" max="12291" width="8.7109375" style="279" customWidth="1"/>
    <col min="12292" max="12292" width="8" style="279" customWidth="1"/>
    <col min="12293" max="12293" width="10.28515625" style="279" customWidth="1"/>
    <col min="12294" max="12294" width="7.140625" style="279" customWidth="1"/>
    <col min="12295" max="12295" width="6.85546875" style="279" customWidth="1"/>
    <col min="12296" max="12296" width="11.7109375" style="279" customWidth="1"/>
    <col min="12297" max="12297" width="11.5703125" style="279" customWidth="1"/>
    <col min="12298" max="12298" width="9.140625" style="279"/>
    <col min="12299" max="12299" width="10.5703125" style="279" bestFit="1" customWidth="1"/>
    <col min="12300" max="12300" width="9.140625" style="279"/>
    <col min="12301" max="12301" width="12.140625" style="279" customWidth="1"/>
    <col min="12302" max="12543" width="9.140625" style="279"/>
    <col min="12544" max="12544" width="4" style="279" customWidth="1"/>
    <col min="12545" max="12545" width="10.5703125" style="279" customWidth="1"/>
    <col min="12546" max="12546" width="11.140625" style="279" customWidth="1"/>
    <col min="12547" max="12547" width="8.7109375" style="279" customWidth="1"/>
    <col min="12548" max="12548" width="8" style="279" customWidth="1"/>
    <col min="12549" max="12549" width="10.28515625" style="279" customWidth="1"/>
    <col min="12550" max="12550" width="7.140625" style="279" customWidth="1"/>
    <col min="12551" max="12551" width="6.85546875" style="279" customWidth="1"/>
    <col min="12552" max="12552" width="11.7109375" style="279" customWidth="1"/>
    <col min="12553" max="12553" width="11.5703125" style="279" customWidth="1"/>
    <col min="12554" max="12554" width="9.140625" style="279"/>
    <col min="12555" max="12555" width="10.5703125" style="279" bestFit="1" customWidth="1"/>
    <col min="12556" max="12556" width="9.140625" style="279"/>
    <col min="12557" max="12557" width="12.140625" style="279" customWidth="1"/>
    <col min="12558" max="12799" width="9.140625" style="279"/>
    <col min="12800" max="12800" width="4" style="279" customWidth="1"/>
    <col min="12801" max="12801" width="10.5703125" style="279" customWidth="1"/>
    <col min="12802" max="12802" width="11.140625" style="279" customWidth="1"/>
    <col min="12803" max="12803" width="8.7109375" style="279" customWidth="1"/>
    <col min="12804" max="12804" width="8" style="279" customWidth="1"/>
    <col min="12805" max="12805" width="10.28515625" style="279" customWidth="1"/>
    <col min="12806" max="12806" width="7.140625" style="279" customWidth="1"/>
    <col min="12807" max="12807" width="6.85546875" style="279" customWidth="1"/>
    <col min="12808" max="12808" width="11.7109375" style="279" customWidth="1"/>
    <col min="12809" max="12809" width="11.5703125" style="279" customWidth="1"/>
    <col min="12810" max="12810" width="9.140625" style="279"/>
    <col min="12811" max="12811" width="10.5703125" style="279" bestFit="1" customWidth="1"/>
    <col min="12812" max="12812" width="9.140625" style="279"/>
    <col min="12813" max="12813" width="12.140625" style="279" customWidth="1"/>
    <col min="12814" max="13055" width="9.140625" style="279"/>
    <col min="13056" max="13056" width="4" style="279" customWidth="1"/>
    <col min="13057" max="13057" width="10.5703125" style="279" customWidth="1"/>
    <col min="13058" max="13058" width="11.140625" style="279" customWidth="1"/>
    <col min="13059" max="13059" width="8.7109375" style="279" customWidth="1"/>
    <col min="13060" max="13060" width="8" style="279" customWidth="1"/>
    <col min="13061" max="13061" width="10.28515625" style="279" customWidth="1"/>
    <col min="13062" max="13062" width="7.140625" style="279" customWidth="1"/>
    <col min="13063" max="13063" width="6.85546875" style="279" customWidth="1"/>
    <col min="13064" max="13064" width="11.7109375" style="279" customWidth="1"/>
    <col min="13065" max="13065" width="11.5703125" style="279" customWidth="1"/>
    <col min="13066" max="13066" width="9.140625" style="279"/>
    <col min="13067" max="13067" width="10.5703125" style="279" bestFit="1" customWidth="1"/>
    <col min="13068" max="13068" width="9.140625" style="279"/>
    <col min="13069" max="13069" width="12.140625" style="279" customWidth="1"/>
    <col min="13070" max="13311" width="9.140625" style="279"/>
    <col min="13312" max="13312" width="4" style="279" customWidth="1"/>
    <col min="13313" max="13313" width="10.5703125" style="279" customWidth="1"/>
    <col min="13314" max="13314" width="11.140625" style="279" customWidth="1"/>
    <col min="13315" max="13315" width="8.7109375" style="279" customWidth="1"/>
    <col min="13316" max="13316" width="8" style="279" customWidth="1"/>
    <col min="13317" max="13317" width="10.28515625" style="279" customWidth="1"/>
    <col min="13318" max="13318" width="7.140625" style="279" customWidth="1"/>
    <col min="13319" max="13319" width="6.85546875" style="279" customWidth="1"/>
    <col min="13320" max="13320" width="11.7109375" style="279" customWidth="1"/>
    <col min="13321" max="13321" width="11.5703125" style="279" customWidth="1"/>
    <col min="13322" max="13322" width="9.140625" style="279"/>
    <col min="13323" max="13323" width="10.5703125" style="279" bestFit="1" customWidth="1"/>
    <col min="13324" max="13324" width="9.140625" style="279"/>
    <col min="13325" max="13325" width="12.140625" style="279" customWidth="1"/>
    <col min="13326" max="13567" width="9.140625" style="279"/>
    <col min="13568" max="13568" width="4" style="279" customWidth="1"/>
    <col min="13569" max="13569" width="10.5703125" style="279" customWidth="1"/>
    <col min="13570" max="13570" width="11.140625" style="279" customWidth="1"/>
    <col min="13571" max="13571" width="8.7109375" style="279" customWidth="1"/>
    <col min="13572" max="13572" width="8" style="279" customWidth="1"/>
    <col min="13573" max="13573" width="10.28515625" style="279" customWidth="1"/>
    <col min="13574" max="13574" width="7.140625" style="279" customWidth="1"/>
    <col min="13575" max="13575" width="6.85546875" style="279" customWidth="1"/>
    <col min="13576" max="13576" width="11.7109375" style="279" customWidth="1"/>
    <col min="13577" max="13577" width="11.5703125" style="279" customWidth="1"/>
    <col min="13578" max="13578" width="9.140625" style="279"/>
    <col min="13579" max="13579" width="10.5703125" style="279" bestFit="1" customWidth="1"/>
    <col min="13580" max="13580" width="9.140625" style="279"/>
    <col min="13581" max="13581" width="12.140625" style="279" customWidth="1"/>
    <col min="13582" max="13823" width="9.140625" style="279"/>
    <col min="13824" max="13824" width="4" style="279" customWidth="1"/>
    <col min="13825" max="13825" width="10.5703125" style="279" customWidth="1"/>
    <col min="13826" max="13826" width="11.140625" style="279" customWidth="1"/>
    <col min="13827" max="13827" width="8.7109375" style="279" customWidth="1"/>
    <col min="13828" max="13828" width="8" style="279" customWidth="1"/>
    <col min="13829" max="13829" width="10.28515625" style="279" customWidth="1"/>
    <col min="13830" max="13830" width="7.140625" style="279" customWidth="1"/>
    <col min="13831" max="13831" width="6.85546875" style="279" customWidth="1"/>
    <col min="13832" max="13832" width="11.7109375" style="279" customWidth="1"/>
    <col min="13833" max="13833" width="11.5703125" style="279" customWidth="1"/>
    <col min="13834" max="13834" width="9.140625" style="279"/>
    <col min="13835" max="13835" width="10.5703125" style="279" bestFit="1" customWidth="1"/>
    <col min="13836" max="13836" width="9.140625" style="279"/>
    <col min="13837" max="13837" width="12.140625" style="279" customWidth="1"/>
    <col min="13838" max="14079" width="9.140625" style="279"/>
    <col min="14080" max="14080" width="4" style="279" customWidth="1"/>
    <col min="14081" max="14081" width="10.5703125" style="279" customWidth="1"/>
    <col min="14082" max="14082" width="11.140625" style="279" customWidth="1"/>
    <col min="14083" max="14083" width="8.7109375" style="279" customWidth="1"/>
    <col min="14084" max="14084" width="8" style="279" customWidth="1"/>
    <col min="14085" max="14085" width="10.28515625" style="279" customWidth="1"/>
    <col min="14086" max="14086" width="7.140625" style="279" customWidth="1"/>
    <col min="14087" max="14087" width="6.85546875" style="279" customWidth="1"/>
    <col min="14088" max="14088" width="11.7109375" style="279" customWidth="1"/>
    <col min="14089" max="14089" width="11.5703125" style="279" customWidth="1"/>
    <col min="14090" max="14090" width="9.140625" style="279"/>
    <col min="14091" max="14091" width="10.5703125" style="279" bestFit="1" customWidth="1"/>
    <col min="14092" max="14092" width="9.140625" style="279"/>
    <col min="14093" max="14093" width="12.140625" style="279" customWidth="1"/>
    <col min="14094" max="14335" width="9.140625" style="279"/>
    <col min="14336" max="14336" width="4" style="279" customWidth="1"/>
    <col min="14337" max="14337" width="10.5703125" style="279" customWidth="1"/>
    <col min="14338" max="14338" width="11.140625" style="279" customWidth="1"/>
    <col min="14339" max="14339" width="8.7109375" style="279" customWidth="1"/>
    <col min="14340" max="14340" width="8" style="279" customWidth="1"/>
    <col min="14341" max="14341" width="10.28515625" style="279" customWidth="1"/>
    <col min="14342" max="14342" width="7.140625" style="279" customWidth="1"/>
    <col min="14343" max="14343" width="6.85546875" style="279" customWidth="1"/>
    <col min="14344" max="14344" width="11.7109375" style="279" customWidth="1"/>
    <col min="14345" max="14345" width="11.5703125" style="279" customWidth="1"/>
    <col min="14346" max="14346" width="9.140625" style="279"/>
    <col min="14347" max="14347" width="10.5703125" style="279" bestFit="1" customWidth="1"/>
    <col min="14348" max="14348" width="9.140625" style="279"/>
    <col min="14349" max="14349" width="12.140625" style="279" customWidth="1"/>
    <col min="14350" max="14591" width="9.140625" style="279"/>
    <col min="14592" max="14592" width="4" style="279" customWidth="1"/>
    <col min="14593" max="14593" width="10.5703125" style="279" customWidth="1"/>
    <col min="14594" max="14594" width="11.140625" style="279" customWidth="1"/>
    <col min="14595" max="14595" width="8.7109375" style="279" customWidth="1"/>
    <col min="14596" max="14596" width="8" style="279" customWidth="1"/>
    <col min="14597" max="14597" width="10.28515625" style="279" customWidth="1"/>
    <col min="14598" max="14598" width="7.140625" style="279" customWidth="1"/>
    <col min="14599" max="14599" width="6.85546875" style="279" customWidth="1"/>
    <col min="14600" max="14600" width="11.7109375" style="279" customWidth="1"/>
    <col min="14601" max="14601" width="11.5703125" style="279" customWidth="1"/>
    <col min="14602" max="14602" width="9.140625" style="279"/>
    <col min="14603" max="14603" width="10.5703125" style="279" bestFit="1" customWidth="1"/>
    <col min="14604" max="14604" width="9.140625" style="279"/>
    <col min="14605" max="14605" width="12.140625" style="279" customWidth="1"/>
    <col min="14606" max="14847" width="9.140625" style="279"/>
    <col min="14848" max="14848" width="4" style="279" customWidth="1"/>
    <col min="14849" max="14849" width="10.5703125" style="279" customWidth="1"/>
    <col min="14850" max="14850" width="11.140625" style="279" customWidth="1"/>
    <col min="14851" max="14851" width="8.7109375" style="279" customWidth="1"/>
    <col min="14852" max="14852" width="8" style="279" customWidth="1"/>
    <col min="14853" max="14853" width="10.28515625" style="279" customWidth="1"/>
    <col min="14854" max="14854" width="7.140625" style="279" customWidth="1"/>
    <col min="14855" max="14855" width="6.85546875" style="279" customWidth="1"/>
    <col min="14856" max="14856" width="11.7109375" style="279" customWidth="1"/>
    <col min="14857" max="14857" width="11.5703125" style="279" customWidth="1"/>
    <col min="14858" max="14858" width="9.140625" style="279"/>
    <col min="14859" max="14859" width="10.5703125" style="279" bestFit="1" customWidth="1"/>
    <col min="14860" max="14860" width="9.140625" style="279"/>
    <col min="14861" max="14861" width="12.140625" style="279" customWidth="1"/>
    <col min="14862" max="15103" width="9.140625" style="279"/>
    <col min="15104" max="15104" width="4" style="279" customWidth="1"/>
    <col min="15105" max="15105" width="10.5703125" style="279" customWidth="1"/>
    <col min="15106" max="15106" width="11.140625" style="279" customWidth="1"/>
    <col min="15107" max="15107" width="8.7109375" style="279" customWidth="1"/>
    <col min="15108" max="15108" width="8" style="279" customWidth="1"/>
    <col min="15109" max="15109" width="10.28515625" style="279" customWidth="1"/>
    <col min="15110" max="15110" width="7.140625" style="279" customWidth="1"/>
    <col min="15111" max="15111" width="6.85546875" style="279" customWidth="1"/>
    <col min="15112" max="15112" width="11.7109375" style="279" customWidth="1"/>
    <col min="15113" max="15113" width="11.5703125" style="279" customWidth="1"/>
    <col min="15114" max="15114" width="9.140625" style="279"/>
    <col min="15115" max="15115" width="10.5703125" style="279" bestFit="1" customWidth="1"/>
    <col min="15116" max="15116" width="9.140625" style="279"/>
    <col min="15117" max="15117" width="12.140625" style="279" customWidth="1"/>
    <col min="15118" max="15359" width="9.140625" style="279"/>
    <col min="15360" max="15360" width="4" style="279" customWidth="1"/>
    <col min="15361" max="15361" width="10.5703125" style="279" customWidth="1"/>
    <col min="15362" max="15362" width="11.140625" style="279" customWidth="1"/>
    <col min="15363" max="15363" width="8.7109375" style="279" customWidth="1"/>
    <col min="15364" max="15364" width="8" style="279" customWidth="1"/>
    <col min="15365" max="15365" width="10.28515625" style="279" customWidth="1"/>
    <col min="15366" max="15366" width="7.140625" style="279" customWidth="1"/>
    <col min="15367" max="15367" width="6.85546875" style="279" customWidth="1"/>
    <col min="15368" max="15368" width="11.7109375" style="279" customWidth="1"/>
    <col min="15369" max="15369" width="11.5703125" style="279" customWidth="1"/>
    <col min="15370" max="15370" width="9.140625" style="279"/>
    <col min="15371" max="15371" width="10.5703125" style="279" bestFit="1" customWidth="1"/>
    <col min="15372" max="15372" width="9.140625" style="279"/>
    <col min="15373" max="15373" width="12.140625" style="279" customWidth="1"/>
    <col min="15374" max="15615" width="9.140625" style="279"/>
    <col min="15616" max="15616" width="4" style="279" customWidth="1"/>
    <col min="15617" max="15617" width="10.5703125" style="279" customWidth="1"/>
    <col min="15618" max="15618" width="11.140625" style="279" customWidth="1"/>
    <col min="15619" max="15619" width="8.7109375" style="279" customWidth="1"/>
    <col min="15620" max="15620" width="8" style="279" customWidth="1"/>
    <col min="15621" max="15621" width="10.28515625" style="279" customWidth="1"/>
    <col min="15622" max="15622" width="7.140625" style="279" customWidth="1"/>
    <col min="15623" max="15623" width="6.85546875" style="279" customWidth="1"/>
    <col min="15624" max="15624" width="11.7109375" style="279" customWidth="1"/>
    <col min="15625" max="15625" width="11.5703125" style="279" customWidth="1"/>
    <col min="15626" max="15626" width="9.140625" style="279"/>
    <col min="15627" max="15627" width="10.5703125" style="279" bestFit="1" customWidth="1"/>
    <col min="15628" max="15628" width="9.140625" style="279"/>
    <col min="15629" max="15629" width="12.140625" style="279" customWidth="1"/>
    <col min="15630" max="15871" width="9.140625" style="279"/>
    <col min="15872" max="15872" width="4" style="279" customWidth="1"/>
    <col min="15873" max="15873" width="10.5703125" style="279" customWidth="1"/>
    <col min="15874" max="15874" width="11.140625" style="279" customWidth="1"/>
    <col min="15875" max="15875" width="8.7109375" style="279" customWidth="1"/>
    <col min="15876" max="15876" width="8" style="279" customWidth="1"/>
    <col min="15877" max="15877" width="10.28515625" style="279" customWidth="1"/>
    <col min="15878" max="15878" width="7.140625" style="279" customWidth="1"/>
    <col min="15879" max="15879" width="6.85546875" style="279" customWidth="1"/>
    <col min="15880" max="15880" width="11.7109375" style="279" customWidth="1"/>
    <col min="15881" max="15881" width="11.5703125" style="279" customWidth="1"/>
    <col min="15882" max="15882" width="9.140625" style="279"/>
    <col min="15883" max="15883" width="10.5703125" style="279" bestFit="1" customWidth="1"/>
    <col min="15884" max="15884" width="9.140625" style="279"/>
    <col min="15885" max="15885" width="12.140625" style="279" customWidth="1"/>
    <col min="15886" max="16127" width="9.140625" style="279"/>
    <col min="16128" max="16128" width="4" style="279" customWidth="1"/>
    <col min="16129" max="16129" width="10.5703125" style="279" customWidth="1"/>
    <col min="16130" max="16130" width="11.140625" style="279" customWidth="1"/>
    <col min="16131" max="16131" width="8.7109375" style="279" customWidth="1"/>
    <col min="16132" max="16132" width="8" style="279" customWidth="1"/>
    <col min="16133" max="16133" width="10.28515625" style="279" customWidth="1"/>
    <col min="16134" max="16134" width="7.140625" style="279" customWidth="1"/>
    <col min="16135" max="16135" width="6.85546875" style="279" customWidth="1"/>
    <col min="16136" max="16136" width="11.7109375" style="279" customWidth="1"/>
    <col min="16137" max="16137" width="11.5703125" style="279" customWidth="1"/>
    <col min="16138" max="16138" width="9.140625" style="279"/>
    <col min="16139" max="16139" width="10.5703125" style="279" bestFit="1" customWidth="1"/>
    <col min="16140" max="16140" width="9.140625" style="279"/>
    <col min="16141" max="16141" width="12.140625" style="279" customWidth="1"/>
    <col min="16142" max="16384" width="9.140625" style="279"/>
  </cols>
  <sheetData>
    <row r="1" spans="1:10" x14ac:dyDescent="0.25">
      <c r="A1" s="1201" t="s">
        <v>163</v>
      </c>
      <c r="B1" s="1201"/>
      <c r="C1" s="1201"/>
      <c r="D1" s="1201"/>
      <c r="E1" s="1201"/>
      <c r="F1" s="1201"/>
      <c r="G1" s="1201"/>
      <c r="H1" s="1201"/>
      <c r="I1" s="155"/>
    </row>
    <row r="3" spans="1:10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201"/>
    </row>
    <row r="4" spans="1:10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202"/>
    </row>
    <row r="5" spans="1:10" ht="15" customHeight="1" x14ac:dyDescent="0.25">
      <c r="A5" s="200"/>
      <c r="B5" s="200"/>
      <c r="C5" s="200"/>
      <c r="D5" s="200"/>
      <c r="E5" s="200"/>
      <c r="F5" s="200"/>
      <c r="G5" s="200"/>
      <c r="H5" s="200"/>
      <c r="I5" s="202"/>
    </row>
    <row r="6" spans="1:10" x14ac:dyDescent="0.25">
      <c r="A6" s="1155" t="s">
        <v>399</v>
      </c>
      <c r="B6" s="1155"/>
      <c r="C6" s="1155"/>
      <c r="D6" s="1155"/>
      <c r="E6" s="1155"/>
      <c r="F6" s="1155"/>
      <c r="G6" s="1155"/>
      <c r="H6" s="1155"/>
    </row>
    <row r="7" spans="1:10" ht="24" customHeight="1" x14ac:dyDescent="0.25">
      <c r="A7" s="733" t="s">
        <v>258</v>
      </c>
      <c r="B7" s="733" t="s">
        <v>492</v>
      </c>
      <c r="C7" s="731" t="s">
        <v>343</v>
      </c>
      <c r="D7" s="733" t="s">
        <v>389</v>
      </c>
      <c r="E7" s="733" t="s">
        <v>445</v>
      </c>
      <c r="F7" s="733" t="s">
        <v>505</v>
      </c>
      <c r="G7" s="733" t="s">
        <v>467</v>
      </c>
      <c r="H7" s="733" t="s">
        <v>402</v>
      </c>
    </row>
    <row r="8" spans="1:10" x14ac:dyDescent="0.25">
      <c r="A8" s="728">
        <v>1</v>
      </c>
      <c r="B8" s="728">
        <v>2</v>
      </c>
      <c r="C8" s="728">
        <v>3</v>
      </c>
      <c r="D8" s="728">
        <v>4</v>
      </c>
      <c r="E8" s="728">
        <v>5</v>
      </c>
      <c r="F8" s="728">
        <v>6</v>
      </c>
      <c r="G8" s="728">
        <v>7</v>
      </c>
      <c r="H8" s="728">
        <v>8</v>
      </c>
    </row>
    <row r="9" spans="1:10" x14ac:dyDescent="0.25">
      <c r="A9" s="728">
        <v>1</v>
      </c>
      <c r="B9" s="734" t="s">
        <v>506</v>
      </c>
      <c r="C9" s="733">
        <v>221</v>
      </c>
      <c r="D9" s="731"/>
      <c r="E9" s="762">
        <v>0</v>
      </c>
      <c r="F9" s="759">
        <v>2367.96</v>
      </c>
      <c r="G9" s="495">
        <f>E9*F9</f>
        <v>0</v>
      </c>
      <c r="H9" s="283">
        <f>ROUND(G9/1000,1)</f>
        <v>0</v>
      </c>
      <c r="J9" s="289"/>
    </row>
    <row r="10" spans="1:10" x14ac:dyDescent="0.25">
      <c r="A10" s="1146" t="s">
        <v>404</v>
      </c>
      <c r="B10" s="1147"/>
      <c r="C10" s="1147"/>
      <c r="D10" s="1147"/>
      <c r="E10" s="1147"/>
      <c r="F10" s="1252"/>
      <c r="G10" s="825">
        <f>G9</f>
        <v>0</v>
      </c>
      <c r="H10" s="293">
        <f>H9</f>
        <v>0</v>
      </c>
    </row>
    <row r="12" spans="1:10" x14ac:dyDescent="0.25">
      <c r="A12" s="1145" t="s">
        <v>509</v>
      </c>
      <c r="B12" s="1145"/>
      <c r="C12" s="1145"/>
      <c r="D12" s="1145"/>
      <c r="E12" s="1145"/>
      <c r="F12" s="1145"/>
      <c r="G12" s="1145"/>
      <c r="H12" s="1145"/>
      <c r="I12" s="1145"/>
    </row>
    <row r="13" spans="1:10" ht="24" customHeight="1" x14ac:dyDescent="0.25">
      <c r="A13" s="195" t="s">
        <v>258</v>
      </c>
      <c r="B13" s="733" t="s">
        <v>492</v>
      </c>
      <c r="C13" s="193" t="s">
        <v>343</v>
      </c>
      <c r="D13" s="195" t="s">
        <v>389</v>
      </c>
      <c r="E13" s="195" t="s">
        <v>445</v>
      </c>
      <c r="F13" s="736" t="s">
        <v>502</v>
      </c>
      <c r="G13" s="195" t="s">
        <v>508</v>
      </c>
      <c r="H13" s="286" t="s">
        <v>467</v>
      </c>
      <c r="I13" s="195" t="s">
        <v>402</v>
      </c>
    </row>
    <row r="14" spans="1:10" x14ac:dyDescent="0.25">
      <c r="A14" s="196">
        <v>1</v>
      </c>
      <c r="B14" s="728">
        <v>2</v>
      </c>
      <c r="C14" s="196">
        <v>3</v>
      </c>
      <c r="D14" s="196">
        <v>4</v>
      </c>
      <c r="E14" s="196">
        <v>5</v>
      </c>
      <c r="F14" s="728">
        <v>6</v>
      </c>
      <c r="G14" s="196">
        <v>7</v>
      </c>
      <c r="H14" s="287">
        <v>8</v>
      </c>
      <c r="I14" s="196">
        <v>9</v>
      </c>
    </row>
    <row r="15" spans="1:10" ht="27" customHeight="1" x14ac:dyDescent="0.25">
      <c r="A15" s="196">
        <v>1</v>
      </c>
      <c r="B15" s="734" t="s">
        <v>507</v>
      </c>
      <c r="C15" s="195">
        <v>226</v>
      </c>
      <c r="D15" s="233" t="s">
        <v>362</v>
      </c>
      <c r="E15" s="259">
        <v>12</v>
      </c>
      <c r="F15" s="759">
        <v>7647.5</v>
      </c>
      <c r="G15" s="268">
        <v>2309.5500000000002</v>
      </c>
      <c r="H15" s="588">
        <f>59100-1200+4500</f>
        <v>62400</v>
      </c>
      <c r="I15" s="283">
        <f>ROUND(H15/1000,1)</f>
        <v>62.4</v>
      </c>
      <c r="J15" s="520">
        <v>4.5</v>
      </c>
    </row>
    <row r="16" spans="1:10" x14ac:dyDescent="0.25">
      <c r="A16" s="1223" t="s">
        <v>409</v>
      </c>
      <c r="B16" s="1223"/>
      <c r="C16" s="1223"/>
      <c r="D16" s="1223"/>
      <c r="E16" s="1223"/>
      <c r="F16" s="1223"/>
      <c r="G16" s="1223"/>
      <c r="H16" s="826">
        <f>H15</f>
        <v>62400</v>
      </c>
      <c r="I16" s="293">
        <f>I15</f>
        <v>62.4</v>
      </c>
    </row>
    <row r="18" spans="1:14" x14ac:dyDescent="0.25">
      <c r="A18" s="1240" t="s">
        <v>826</v>
      </c>
      <c r="B18" s="1240"/>
      <c r="C18" s="1240"/>
      <c r="D18" s="1240"/>
      <c r="E18" s="1240"/>
      <c r="F18" s="1240"/>
      <c r="G18" s="1240"/>
      <c r="H18" s="1240"/>
    </row>
    <row r="19" spans="1:14" ht="24" customHeight="1" x14ac:dyDescent="0.25">
      <c r="A19" s="518" t="s">
        <v>258</v>
      </c>
      <c r="B19" s="733" t="s">
        <v>492</v>
      </c>
      <c r="C19" s="519" t="s">
        <v>343</v>
      </c>
      <c r="D19" s="518" t="s">
        <v>389</v>
      </c>
      <c r="E19" s="518" t="s">
        <v>411</v>
      </c>
      <c r="F19" s="727" t="s">
        <v>406</v>
      </c>
      <c r="G19" s="254" t="s">
        <v>467</v>
      </c>
      <c r="H19" s="518" t="s">
        <v>402</v>
      </c>
    </row>
    <row r="20" spans="1:14" x14ac:dyDescent="0.25">
      <c r="A20" s="517">
        <v>1</v>
      </c>
      <c r="B20" s="728">
        <v>2</v>
      </c>
      <c r="C20" s="517">
        <v>3</v>
      </c>
      <c r="D20" s="517">
        <v>4</v>
      </c>
      <c r="E20" s="517">
        <v>5</v>
      </c>
      <c r="F20" s="728">
        <v>6</v>
      </c>
      <c r="G20" s="269">
        <v>7</v>
      </c>
      <c r="H20" s="517">
        <v>8</v>
      </c>
    </row>
    <row r="21" spans="1:14" x14ac:dyDescent="0.25">
      <c r="A21" s="517">
        <v>1</v>
      </c>
      <c r="B21" s="734" t="s">
        <v>463</v>
      </c>
      <c r="C21" s="516">
        <v>346</v>
      </c>
      <c r="D21" s="515"/>
      <c r="E21" s="519"/>
      <c r="F21" s="746"/>
      <c r="G21" s="495">
        <f>E21*F21</f>
        <v>0</v>
      </c>
      <c r="H21" s="222">
        <f t="shared" ref="H21" si="0">ROUND(G21/1000,1)</f>
        <v>0</v>
      </c>
      <c r="I21" s="289"/>
    </row>
    <row r="22" spans="1:14" x14ac:dyDescent="0.25">
      <c r="A22" s="1156" t="s">
        <v>464</v>
      </c>
      <c r="B22" s="1156"/>
      <c r="C22" s="1156"/>
      <c r="D22" s="1156"/>
      <c r="E22" s="1156"/>
      <c r="F22" s="1156"/>
      <c r="G22" s="806">
        <f>SUM(G21:G21)</f>
        <v>0</v>
      </c>
      <c r="H22" s="276">
        <f>H21</f>
        <v>0</v>
      </c>
    </row>
    <row r="25" spans="1:14" x14ac:dyDescent="0.25">
      <c r="A25" s="1150" t="s">
        <v>397</v>
      </c>
      <c r="B25" s="1150"/>
      <c r="C25" s="168"/>
      <c r="D25" s="1151"/>
      <c r="E25" s="1151"/>
      <c r="F25" s="168"/>
      <c r="G25" s="1151" t="str">
        <f>рВДЛ!G32</f>
        <v>М.В. Златова</v>
      </c>
      <c r="H25" s="1151"/>
    </row>
    <row r="26" spans="1:14" s="145" customFormat="1" x14ac:dyDescent="0.25">
      <c r="A26" s="1148" t="s">
        <v>329</v>
      </c>
      <c r="B26" s="1148"/>
      <c r="C26" s="169"/>
      <c r="D26" s="1148" t="s">
        <v>330</v>
      </c>
      <c r="E26" s="1148"/>
      <c r="F26" s="169"/>
      <c r="G26" s="1149" t="s">
        <v>331</v>
      </c>
      <c r="H26" s="1149"/>
      <c r="K26" s="146"/>
      <c r="L26" s="146"/>
      <c r="M26" s="146"/>
      <c r="N26" s="146"/>
    </row>
    <row r="27" spans="1:14" s="145" customFormat="1" x14ac:dyDescent="0.25">
      <c r="A27" s="1150" t="str">
        <f>рВДЛ!A34</f>
        <v>Исполнитель: финансист</v>
      </c>
      <c r="B27" s="1150"/>
      <c r="C27" s="168"/>
      <c r="D27" s="1151"/>
      <c r="E27" s="1151"/>
      <c r="F27" s="168"/>
      <c r="G27" s="1151" t="str">
        <f>рВДЛ!G34</f>
        <v>Е.Н. Рыбалка</v>
      </c>
      <c r="H27" s="1151"/>
    </row>
    <row r="28" spans="1:14" s="145" customFormat="1" x14ac:dyDescent="0.25">
      <c r="A28" s="1148" t="s">
        <v>329</v>
      </c>
      <c r="B28" s="1148"/>
      <c r="C28" s="169"/>
      <c r="D28" s="1148" t="s">
        <v>330</v>
      </c>
      <c r="E28" s="1148"/>
      <c r="F28" s="169"/>
      <c r="G28" s="1149" t="s">
        <v>331</v>
      </c>
      <c r="H28" s="1149"/>
    </row>
    <row r="29" spans="1:14" s="145" customFormat="1" x14ac:dyDescent="0.25"/>
    <row r="32" spans="1:14" x14ac:dyDescent="0.25">
      <c r="H32" s="299" t="s">
        <v>731</v>
      </c>
      <c r="I32" s="300">
        <v>62400</v>
      </c>
      <c r="J32" s="279" t="b">
        <f>I32=(H10+I16+H22)*1000</f>
        <v>1</v>
      </c>
    </row>
  </sheetData>
  <mergeCells count="21">
    <mergeCell ref="A25:B25"/>
    <mergeCell ref="D25:E25"/>
    <mergeCell ref="G25:H25"/>
    <mergeCell ref="A22:F22"/>
    <mergeCell ref="A18:H18"/>
    <mergeCell ref="A28:B28"/>
    <mergeCell ref="D28:E28"/>
    <mergeCell ref="G28:H28"/>
    <mergeCell ref="A26:B26"/>
    <mergeCell ref="D26:E26"/>
    <mergeCell ref="A27:B27"/>
    <mergeCell ref="D27:E27"/>
    <mergeCell ref="G27:H27"/>
    <mergeCell ref="G26:H26"/>
    <mergeCell ref="A1:H1"/>
    <mergeCell ref="A3:H3"/>
    <mergeCell ref="A4:H4"/>
    <mergeCell ref="A12:I12"/>
    <mergeCell ref="A16:G16"/>
    <mergeCell ref="A6:H6"/>
    <mergeCell ref="A10:F10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topLeftCell="A40" workbookViewId="0">
      <selection activeCell="A47" sqref="A47:H47"/>
    </sheetView>
  </sheetViews>
  <sheetFormatPr defaultRowHeight="15" x14ac:dyDescent="0.25"/>
  <cols>
    <col min="1" max="1" width="49.42578125" customWidth="1"/>
    <col min="2" max="3" width="3.5703125" customWidth="1"/>
    <col min="4" max="4" width="11.42578125" customWidth="1"/>
    <col min="5" max="7" width="5.7109375" customWidth="1"/>
    <col min="8" max="8" width="9" customWidth="1"/>
    <col min="9" max="9" width="18.7109375" style="611" customWidth="1"/>
    <col min="254" max="254" width="49.42578125" customWidth="1"/>
    <col min="255" max="256" width="3.5703125" customWidth="1"/>
    <col min="257" max="257" width="11.42578125" customWidth="1"/>
    <col min="258" max="260" width="5.7109375" customWidth="1"/>
    <col min="261" max="261" width="9" customWidth="1"/>
    <col min="262" max="262" width="18.7109375" customWidth="1"/>
    <col min="510" max="510" width="49.42578125" customWidth="1"/>
    <col min="511" max="512" width="3.5703125" customWidth="1"/>
    <col min="513" max="513" width="11.42578125" customWidth="1"/>
    <col min="514" max="516" width="5.7109375" customWidth="1"/>
    <col min="517" max="517" width="9" customWidth="1"/>
    <col min="518" max="518" width="18.7109375" customWidth="1"/>
    <col min="766" max="766" width="49.42578125" customWidth="1"/>
    <col min="767" max="768" width="3.5703125" customWidth="1"/>
    <col min="769" max="769" width="11.42578125" customWidth="1"/>
    <col min="770" max="772" width="5.7109375" customWidth="1"/>
    <col min="773" max="773" width="9" customWidth="1"/>
    <col min="774" max="774" width="18.7109375" customWidth="1"/>
    <col min="1022" max="1022" width="49.42578125" customWidth="1"/>
    <col min="1023" max="1024" width="3.5703125" customWidth="1"/>
    <col min="1025" max="1025" width="11.42578125" customWidth="1"/>
    <col min="1026" max="1028" width="5.7109375" customWidth="1"/>
    <col min="1029" max="1029" width="9" customWidth="1"/>
    <col min="1030" max="1030" width="18.7109375" customWidth="1"/>
    <col min="1278" max="1278" width="49.42578125" customWidth="1"/>
    <col min="1279" max="1280" width="3.5703125" customWidth="1"/>
    <col min="1281" max="1281" width="11.42578125" customWidth="1"/>
    <col min="1282" max="1284" width="5.7109375" customWidth="1"/>
    <col min="1285" max="1285" width="9" customWidth="1"/>
    <col min="1286" max="1286" width="18.7109375" customWidth="1"/>
    <col min="1534" max="1534" width="49.42578125" customWidth="1"/>
    <col min="1535" max="1536" width="3.5703125" customWidth="1"/>
    <col min="1537" max="1537" width="11.42578125" customWidth="1"/>
    <col min="1538" max="1540" width="5.7109375" customWidth="1"/>
    <col min="1541" max="1541" width="9" customWidth="1"/>
    <col min="1542" max="1542" width="18.7109375" customWidth="1"/>
    <col min="1790" max="1790" width="49.42578125" customWidth="1"/>
    <col min="1791" max="1792" width="3.5703125" customWidth="1"/>
    <col min="1793" max="1793" width="11.42578125" customWidth="1"/>
    <col min="1794" max="1796" width="5.7109375" customWidth="1"/>
    <col min="1797" max="1797" width="9" customWidth="1"/>
    <col min="1798" max="1798" width="18.7109375" customWidth="1"/>
    <col min="2046" max="2046" width="49.42578125" customWidth="1"/>
    <col min="2047" max="2048" width="3.5703125" customWidth="1"/>
    <col min="2049" max="2049" width="11.42578125" customWidth="1"/>
    <col min="2050" max="2052" width="5.7109375" customWidth="1"/>
    <col min="2053" max="2053" width="9" customWidth="1"/>
    <col min="2054" max="2054" width="18.7109375" customWidth="1"/>
    <col min="2302" max="2302" width="49.42578125" customWidth="1"/>
    <col min="2303" max="2304" width="3.5703125" customWidth="1"/>
    <col min="2305" max="2305" width="11.42578125" customWidth="1"/>
    <col min="2306" max="2308" width="5.7109375" customWidth="1"/>
    <col min="2309" max="2309" width="9" customWidth="1"/>
    <col min="2310" max="2310" width="18.7109375" customWidth="1"/>
    <col min="2558" max="2558" width="49.42578125" customWidth="1"/>
    <col min="2559" max="2560" width="3.5703125" customWidth="1"/>
    <col min="2561" max="2561" width="11.42578125" customWidth="1"/>
    <col min="2562" max="2564" width="5.7109375" customWidth="1"/>
    <col min="2565" max="2565" width="9" customWidth="1"/>
    <col min="2566" max="2566" width="18.7109375" customWidth="1"/>
    <col min="2814" max="2814" width="49.42578125" customWidth="1"/>
    <col min="2815" max="2816" width="3.5703125" customWidth="1"/>
    <col min="2817" max="2817" width="11.42578125" customWidth="1"/>
    <col min="2818" max="2820" width="5.7109375" customWidth="1"/>
    <col min="2821" max="2821" width="9" customWidth="1"/>
    <col min="2822" max="2822" width="18.7109375" customWidth="1"/>
    <col min="3070" max="3070" width="49.42578125" customWidth="1"/>
    <col min="3071" max="3072" width="3.5703125" customWidth="1"/>
    <col min="3073" max="3073" width="11.42578125" customWidth="1"/>
    <col min="3074" max="3076" width="5.7109375" customWidth="1"/>
    <col min="3077" max="3077" width="9" customWidth="1"/>
    <col min="3078" max="3078" width="18.7109375" customWidth="1"/>
    <col min="3326" max="3326" width="49.42578125" customWidth="1"/>
    <col min="3327" max="3328" width="3.5703125" customWidth="1"/>
    <col min="3329" max="3329" width="11.42578125" customWidth="1"/>
    <col min="3330" max="3332" width="5.7109375" customWidth="1"/>
    <col min="3333" max="3333" width="9" customWidth="1"/>
    <col min="3334" max="3334" width="18.7109375" customWidth="1"/>
    <col min="3582" max="3582" width="49.42578125" customWidth="1"/>
    <col min="3583" max="3584" width="3.5703125" customWidth="1"/>
    <col min="3585" max="3585" width="11.42578125" customWidth="1"/>
    <col min="3586" max="3588" width="5.7109375" customWidth="1"/>
    <col min="3589" max="3589" width="9" customWidth="1"/>
    <col min="3590" max="3590" width="18.7109375" customWidth="1"/>
    <col min="3838" max="3838" width="49.42578125" customWidth="1"/>
    <col min="3839" max="3840" width="3.5703125" customWidth="1"/>
    <col min="3841" max="3841" width="11.42578125" customWidth="1"/>
    <col min="3842" max="3844" width="5.7109375" customWidth="1"/>
    <col min="3845" max="3845" width="9" customWidth="1"/>
    <col min="3846" max="3846" width="18.7109375" customWidth="1"/>
    <col min="4094" max="4094" width="49.42578125" customWidth="1"/>
    <col min="4095" max="4096" width="3.5703125" customWidth="1"/>
    <col min="4097" max="4097" width="11.42578125" customWidth="1"/>
    <col min="4098" max="4100" width="5.7109375" customWidth="1"/>
    <col min="4101" max="4101" width="9" customWidth="1"/>
    <col min="4102" max="4102" width="18.7109375" customWidth="1"/>
    <col min="4350" max="4350" width="49.42578125" customWidth="1"/>
    <col min="4351" max="4352" width="3.5703125" customWidth="1"/>
    <col min="4353" max="4353" width="11.42578125" customWidth="1"/>
    <col min="4354" max="4356" width="5.7109375" customWidth="1"/>
    <col min="4357" max="4357" width="9" customWidth="1"/>
    <col min="4358" max="4358" width="18.7109375" customWidth="1"/>
    <col min="4606" max="4606" width="49.42578125" customWidth="1"/>
    <col min="4607" max="4608" width="3.5703125" customWidth="1"/>
    <col min="4609" max="4609" width="11.42578125" customWidth="1"/>
    <col min="4610" max="4612" width="5.7109375" customWidth="1"/>
    <col min="4613" max="4613" width="9" customWidth="1"/>
    <col min="4614" max="4614" width="18.7109375" customWidth="1"/>
    <col min="4862" max="4862" width="49.42578125" customWidth="1"/>
    <col min="4863" max="4864" width="3.5703125" customWidth="1"/>
    <col min="4865" max="4865" width="11.42578125" customWidth="1"/>
    <col min="4866" max="4868" width="5.7109375" customWidth="1"/>
    <col min="4869" max="4869" width="9" customWidth="1"/>
    <col min="4870" max="4870" width="18.7109375" customWidth="1"/>
    <col min="5118" max="5118" width="49.42578125" customWidth="1"/>
    <col min="5119" max="5120" width="3.5703125" customWidth="1"/>
    <col min="5121" max="5121" width="11.42578125" customWidth="1"/>
    <col min="5122" max="5124" width="5.7109375" customWidth="1"/>
    <col min="5125" max="5125" width="9" customWidth="1"/>
    <col min="5126" max="5126" width="18.7109375" customWidth="1"/>
    <col min="5374" max="5374" width="49.42578125" customWidth="1"/>
    <col min="5375" max="5376" width="3.5703125" customWidth="1"/>
    <col min="5377" max="5377" width="11.42578125" customWidth="1"/>
    <col min="5378" max="5380" width="5.7109375" customWidth="1"/>
    <col min="5381" max="5381" width="9" customWidth="1"/>
    <col min="5382" max="5382" width="18.7109375" customWidth="1"/>
    <col min="5630" max="5630" width="49.42578125" customWidth="1"/>
    <col min="5631" max="5632" width="3.5703125" customWidth="1"/>
    <col min="5633" max="5633" width="11.42578125" customWidth="1"/>
    <col min="5634" max="5636" width="5.7109375" customWidth="1"/>
    <col min="5637" max="5637" width="9" customWidth="1"/>
    <col min="5638" max="5638" width="18.7109375" customWidth="1"/>
    <col min="5886" max="5886" width="49.42578125" customWidth="1"/>
    <col min="5887" max="5888" width="3.5703125" customWidth="1"/>
    <col min="5889" max="5889" width="11.42578125" customWidth="1"/>
    <col min="5890" max="5892" width="5.7109375" customWidth="1"/>
    <col min="5893" max="5893" width="9" customWidth="1"/>
    <col min="5894" max="5894" width="18.7109375" customWidth="1"/>
    <col min="6142" max="6142" width="49.42578125" customWidth="1"/>
    <col min="6143" max="6144" width="3.5703125" customWidth="1"/>
    <col min="6145" max="6145" width="11.42578125" customWidth="1"/>
    <col min="6146" max="6148" width="5.7109375" customWidth="1"/>
    <col min="6149" max="6149" width="9" customWidth="1"/>
    <col min="6150" max="6150" width="18.7109375" customWidth="1"/>
    <col min="6398" max="6398" width="49.42578125" customWidth="1"/>
    <col min="6399" max="6400" width="3.5703125" customWidth="1"/>
    <col min="6401" max="6401" width="11.42578125" customWidth="1"/>
    <col min="6402" max="6404" width="5.7109375" customWidth="1"/>
    <col min="6405" max="6405" width="9" customWidth="1"/>
    <col min="6406" max="6406" width="18.7109375" customWidth="1"/>
    <col min="6654" max="6654" width="49.42578125" customWidth="1"/>
    <col min="6655" max="6656" width="3.5703125" customWidth="1"/>
    <col min="6657" max="6657" width="11.42578125" customWidth="1"/>
    <col min="6658" max="6660" width="5.7109375" customWidth="1"/>
    <col min="6661" max="6661" width="9" customWidth="1"/>
    <col min="6662" max="6662" width="18.7109375" customWidth="1"/>
    <col min="6910" max="6910" width="49.42578125" customWidth="1"/>
    <col min="6911" max="6912" width="3.5703125" customWidth="1"/>
    <col min="6913" max="6913" width="11.42578125" customWidth="1"/>
    <col min="6914" max="6916" width="5.7109375" customWidth="1"/>
    <col min="6917" max="6917" width="9" customWidth="1"/>
    <col min="6918" max="6918" width="18.7109375" customWidth="1"/>
    <col min="7166" max="7166" width="49.42578125" customWidth="1"/>
    <col min="7167" max="7168" width="3.5703125" customWidth="1"/>
    <col min="7169" max="7169" width="11.42578125" customWidth="1"/>
    <col min="7170" max="7172" width="5.7109375" customWidth="1"/>
    <col min="7173" max="7173" width="9" customWidth="1"/>
    <col min="7174" max="7174" width="18.7109375" customWidth="1"/>
    <col min="7422" max="7422" width="49.42578125" customWidth="1"/>
    <col min="7423" max="7424" width="3.5703125" customWidth="1"/>
    <col min="7425" max="7425" width="11.42578125" customWidth="1"/>
    <col min="7426" max="7428" width="5.7109375" customWidth="1"/>
    <col min="7429" max="7429" width="9" customWidth="1"/>
    <col min="7430" max="7430" width="18.7109375" customWidth="1"/>
    <col min="7678" max="7678" width="49.42578125" customWidth="1"/>
    <col min="7679" max="7680" width="3.5703125" customWidth="1"/>
    <col min="7681" max="7681" width="11.42578125" customWidth="1"/>
    <col min="7682" max="7684" width="5.7109375" customWidth="1"/>
    <col min="7685" max="7685" width="9" customWidth="1"/>
    <col min="7686" max="7686" width="18.7109375" customWidth="1"/>
    <col min="7934" max="7934" width="49.42578125" customWidth="1"/>
    <col min="7935" max="7936" width="3.5703125" customWidth="1"/>
    <col min="7937" max="7937" width="11.42578125" customWidth="1"/>
    <col min="7938" max="7940" width="5.7109375" customWidth="1"/>
    <col min="7941" max="7941" width="9" customWidth="1"/>
    <col min="7942" max="7942" width="18.7109375" customWidth="1"/>
    <col min="8190" max="8190" width="49.42578125" customWidth="1"/>
    <col min="8191" max="8192" width="3.5703125" customWidth="1"/>
    <col min="8193" max="8193" width="11.42578125" customWidth="1"/>
    <col min="8194" max="8196" width="5.7109375" customWidth="1"/>
    <col min="8197" max="8197" width="9" customWidth="1"/>
    <col min="8198" max="8198" width="18.7109375" customWidth="1"/>
    <col min="8446" max="8446" width="49.42578125" customWidth="1"/>
    <col min="8447" max="8448" width="3.5703125" customWidth="1"/>
    <col min="8449" max="8449" width="11.42578125" customWidth="1"/>
    <col min="8450" max="8452" width="5.7109375" customWidth="1"/>
    <col min="8453" max="8453" width="9" customWidth="1"/>
    <col min="8454" max="8454" width="18.7109375" customWidth="1"/>
    <col min="8702" max="8702" width="49.42578125" customWidth="1"/>
    <col min="8703" max="8704" width="3.5703125" customWidth="1"/>
    <col min="8705" max="8705" width="11.42578125" customWidth="1"/>
    <col min="8706" max="8708" width="5.7109375" customWidth="1"/>
    <col min="8709" max="8709" width="9" customWidth="1"/>
    <col min="8710" max="8710" width="18.7109375" customWidth="1"/>
    <col min="8958" max="8958" width="49.42578125" customWidth="1"/>
    <col min="8959" max="8960" width="3.5703125" customWidth="1"/>
    <col min="8961" max="8961" width="11.42578125" customWidth="1"/>
    <col min="8962" max="8964" width="5.7109375" customWidth="1"/>
    <col min="8965" max="8965" width="9" customWidth="1"/>
    <col min="8966" max="8966" width="18.7109375" customWidth="1"/>
    <col min="9214" max="9214" width="49.42578125" customWidth="1"/>
    <col min="9215" max="9216" width="3.5703125" customWidth="1"/>
    <col min="9217" max="9217" width="11.42578125" customWidth="1"/>
    <col min="9218" max="9220" width="5.7109375" customWidth="1"/>
    <col min="9221" max="9221" width="9" customWidth="1"/>
    <col min="9222" max="9222" width="18.7109375" customWidth="1"/>
    <col min="9470" max="9470" width="49.42578125" customWidth="1"/>
    <col min="9471" max="9472" width="3.5703125" customWidth="1"/>
    <col min="9473" max="9473" width="11.42578125" customWidth="1"/>
    <col min="9474" max="9476" width="5.7109375" customWidth="1"/>
    <col min="9477" max="9477" width="9" customWidth="1"/>
    <col min="9478" max="9478" width="18.7109375" customWidth="1"/>
    <col min="9726" max="9726" width="49.42578125" customWidth="1"/>
    <col min="9727" max="9728" width="3.5703125" customWidth="1"/>
    <col min="9729" max="9729" width="11.42578125" customWidth="1"/>
    <col min="9730" max="9732" width="5.7109375" customWidth="1"/>
    <col min="9733" max="9733" width="9" customWidth="1"/>
    <col min="9734" max="9734" width="18.7109375" customWidth="1"/>
    <col min="9982" max="9982" width="49.42578125" customWidth="1"/>
    <col min="9983" max="9984" width="3.5703125" customWidth="1"/>
    <col min="9985" max="9985" width="11.42578125" customWidth="1"/>
    <col min="9986" max="9988" width="5.7109375" customWidth="1"/>
    <col min="9989" max="9989" width="9" customWidth="1"/>
    <col min="9990" max="9990" width="18.7109375" customWidth="1"/>
    <col min="10238" max="10238" width="49.42578125" customWidth="1"/>
    <col min="10239" max="10240" width="3.5703125" customWidth="1"/>
    <col min="10241" max="10241" width="11.42578125" customWidth="1"/>
    <col min="10242" max="10244" width="5.7109375" customWidth="1"/>
    <col min="10245" max="10245" width="9" customWidth="1"/>
    <col min="10246" max="10246" width="18.7109375" customWidth="1"/>
    <col min="10494" max="10494" width="49.42578125" customWidth="1"/>
    <col min="10495" max="10496" width="3.5703125" customWidth="1"/>
    <col min="10497" max="10497" width="11.42578125" customWidth="1"/>
    <col min="10498" max="10500" width="5.7109375" customWidth="1"/>
    <col min="10501" max="10501" width="9" customWidth="1"/>
    <col min="10502" max="10502" width="18.7109375" customWidth="1"/>
    <col min="10750" max="10750" width="49.42578125" customWidth="1"/>
    <col min="10751" max="10752" width="3.5703125" customWidth="1"/>
    <col min="10753" max="10753" width="11.42578125" customWidth="1"/>
    <col min="10754" max="10756" width="5.7109375" customWidth="1"/>
    <col min="10757" max="10757" width="9" customWidth="1"/>
    <col min="10758" max="10758" width="18.7109375" customWidth="1"/>
    <col min="11006" max="11006" width="49.42578125" customWidth="1"/>
    <col min="11007" max="11008" width="3.5703125" customWidth="1"/>
    <col min="11009" max="11009" width="11.42578125" customWidth="1"/>
    <col min="11010" max="11012" width="5.7109375" customWidth="1"/>
    <col min="11013" max="11013" width="9" customWidth="1"/>
    <col min="11014" max="11014" width="18.7109375" customWidth="1"/>
    <col min="11262" max="11262" width="49.42578125" customWidth="1"/>
    <col min="11263" max="11264" width="3.5703125" customWidth="1"/>
    <col min="11265" max="11265" width="11.42578125" customWidth="1"/>
    <col min="11266" max="11268" width="5.7109375" customWidth="1"/>
    <col min="11269" max="11269" width="9" customWidth="1"/>
    <col min="11270" max="11270" width="18.7109375" customWidth="1"/>
    <col min="11518" max="11518" width="49.42578125" customWidth="1"/>
    <col min="11519" max="11520" width="3.5703125" customWidth="1"/>
    <col min="11521" max="11521" width="11.42578125" customWidth="1"/>
    <col min="11522" max="11524" width="5.7109375" customWidth="1"/>
    <col min="11525" max="11525" width="9" customWidth="1"/>
    <col min="11526" max="11526" width="18.7109375" customWidth="1"/>
    <col min="11774" max="11774" width="49.42578125" customWidth="1"/>
    <col min="11775" max="11776" width="3.5703125" customWidth="1"/>
    <col min="11777" max="11777" width="11.42578125" customWidth="1"/>
    <col min="11778" max="11780" width="5.7109375" customWidth="1"/>
    <col min="11781" max="11781" width="9" customWidth="1"/>
    <col min="11782" max="11782" width="18.7109375" customWidth="1"/>
    <col min="12030" max="12030" width="49.42578125" customWidth="1"/>
    <col min="12031" max="12032" width="3.5703125" customWidth="1"/>
    <col min="12033" max="12033" width="11.42578125" customWidth="1"/>
    <col min="12034" max="12036" width="5.7109375" customWidth="1"/>
    <col min="12037" max="12037" width="9" customWidth="1"/>
    <col min="12038" max="12038" width="18.7109375" customWidth="1"/>
    <col min="12286" max="12286" width="49.42578125" customWidth="1"/>
    <col min="12287" max="12288" width="3.5703125" customWidth="1"/>
    <col min="12289" max="12289" width="11.42578125" customWidth="1"/>
    <col min="12290" max="12292" width="5.7109375" customWidth="1"/>
    <col min="12293" max="12293" width="9" customWidth="1"/>
    <col min="12294" max="12294" width="18.7109375" customWidth="1"/>
    <col min="12542" max="12542" width="49.42578125" customWidth="1"/>
    <col min="12543" max="12544" width="3.5703125" customWidth="1"/>
    <col min="12545" max="12545" width="11.42578125" customWidth="1"/>
    <col min="12546" max="12548" width="5.7109375" customWidth="1"/>
    <col min="12549" max="12549" width="9" customWidth="1"/>
    <col min="12550" max="12550" width="18.7109375" customWidth="1"/>
    <col min="12798" max="12798" width="49.42578125" customWidth="1"/>
    <col min="12799" max="12800" width="3.5703125" customWidth="1"/>
    <col min="12801" max="12801" width="11.42578125" customWidth="1"/>
    <col min="12802" max="12804" width="5.7109375" customWidth="1"/>
    <col min="12805" max="12805" width="9" customWidth="1"/>
    <col min="12806" max="12806" width="18.7109375" customWidth="1"/>
    <col min="13054" max="13054" width="49.42578125" customWidth="1"/>
    <col min="13055" max="13056" width="3.5703125" customWidth="1"/>
    <col min="13057" max="13057" width="11.42578125" customWidth="1"/>
    <col min="13058" max="13060" width="5.7109375" customWidth="1"/>
    <col min="13061" max="13061" width="9" customWidth="1"/>
    <col min="13062" max="13062" width="18.7109375" customWidth="1"/>
    <col min="13310" max="13310" width="49.42578125" customWidth="1"/>
    <col min="13311" max="13312" width="3.5703125" customWidth="1"/>
    <col min="13313" max="13313" width="11.42578125" customWidth="1"/>
    <col min="13314" max="13316" width="5.7109375" customWidth="1"/>
    <col min="13317" max="13317" width="9" customWidth="1"/>
    <col min="13318" max="13318" width="18.7109375" customWidth="1"/>
    <col min="13566" max="13566" width="49.42578125" customWidth="1"/>
    <col min="13567" max="13568" width="3.5703125" customWidth="1"/>
    <col min="13569" max="13569" width="11.42578125" customWidth="1"/>
    <col min="13570" max="13572" width="5.7109375" customWidth="1"/>
    <col min="13573" max="13573" width="9" customWidth="1"/>
    <col min="13574" max="13574" width="18.7109375" customWidth="1"/>
    <col min="13822" max="13822" width="49.42578125" customWidth="1"/>
    <col min="13823" max="13824" width="3.5703125" customWidth="1"/>
    <col min="13825" max="13825" width="11.42578125" customWidth="1"/>
    <col min="13826" max="13828" width="5.7109375" customWidth="1"/>
    <col min="13829" max="13829" width="9" customWidth="1"/>
    <col min="13830" max="13830" width="18.7109375" customWidth="1"/>
    <col min="14078" max="14078" width="49.42578125" customWidth="1"/>
    <col min="14079" max="14080" width="3.5703125" customWidth="1"/>
    <col min="14081" max="14081" width="11.42578125" customWidth="1"/>
    <col min="14082" max="14084" width="5.7109375" customWidth="1"/>
    <col min="14085" max="14085" width="9" customWidth="1"/>
    <col min="14086" max="14086" width="18.7109375" customWidth="1"/>
    <col min="14334" max="14334" width="49.42578125" customWidth="1"/>
    <col min="14335" max="14336" width="3.5703125" customWidth="1"/>
    <col min="14337" max="14337" width="11.42578125" customWidth="1"/>
    <col min="14338" max="14340" width="5.7109375" customWidth="1"/>
    <col min="14341" max="14341" width="9" customWidth="1"/>
    <col min="14342" max="14342" width="18.7109375" customWidth="1"/>
    <col min="14590" max="14590" width="49.42578125" customWidth="1"/>
    <col min="14591" max="14592" width="3.5703125" customWidth="1"/>
    <col min="14593" max="14593" width="11.42578125" customWidth="1"/>
    <col min="14594" max="14596" width="5.7109375" customWidth="1"/>
    <col min="14597" max="14597" width="9" customWidth="1"/>
    <col min="14598" max="14598" width="18.7109375" customWidth="1"/>
    <col min="14846" max="14846" width="49.42578125" customWidth="1"/>
    <col min="14847" max="14848" width="3.5703125" customWidth="1"/>
    <col min="14849" max="14849" width="11.42578125" customWidth="1"/>
    <col min="14850" max="14852" width="5.7109375" customWidth="1"/>
    <col min="14853" max="14853" width="9" customWidth="1"/>
    <col min="14854" max="14854" width="18.7109375" customWidth="1"/>
    <col min="15102" max="15102" width="49.42578125" customWidth="1"/>
    <col min="15103" max="15104" width="3.5703125" customWidth="1"/>
    <col min="15105" max="15105" width="11.42578125" customWidth="1"/>
    <col min="15106" max="15108" width="5.7109375" customWidth="1"/>
    <col min="15109" max="15109" width="9" customWidth="1"/>
    <col min="15110" max="15110" width="18.7109375" customWidth="1"/>
    <col min="15358" max="15358" width="49.42578125" customWidth="1"/>
    <col min="15359" max="15360" width="3.5703125" customWidth="1"/>
    <col min="15361" max="15361" width="11.42578125" customWidth="1"/>
    <col min="15362" max="15364" width="5.7109375" customWidth="1"/>
    <col min="15365" max="15365" width="9" customWidth="1"/>
    <col min="15366" max="15366" width="18.7109375" customWidth="1"/>
    <col min="15614" max="15614" width="49.42578125" customWidth="1"/>
    <col min="15615" max="15616" width="3.5703125" customWidth="1"/>
    <col min="15617" max="15617" width="11.42578125" customWidth="1"/>
    <col min="15618" max="15620" width="5.7109375" customWidth="1"/>
    <col min="15621" max="15621" width="9" customWidth="1"/>
    <col min="15622" max="15622" width="18.7109375" customWidth="1"/>
    <col min="15870" max="15870" width="49.42578125" customWidth="1"/>
    <col min="15871" max="15872" width="3.5703125" customWidth="1"/>
    <col min="15873" max="15873" width="11.42578125" customWidth="1"/>
    <col min="15874" max="15876" width="5.7109375" customWidth="1"/>
    <col min="15877" max="15877" width="9" customWidth="1"/>
    <col min="15878" max="15878" width="18.7109375" customWidth="1"/>
    <col min="16126" max="16126" width="49.42578125" customWidth="1"/>
    <col min="16127" max="16128" width="3.5703125" customWidth="1"/>
    <col min="16129" max="16129" width="11.42578125" customWidth="1"/>
    <col min="16130" max="16132" width="5.7109375" customWidth="1"/>
    <col min="16133" max="16133" width="9" customWidth="1"/>
    <col min="16134" max="16134" width="18.7109375" customWidth="1"/>
  </cols>
  <sheetData>
    <row r="1" spans="1:9" s="125" customFormat="1" ht="17.25" customHeight="1" x14ac:dyDescent="0.25">
      <c r="A1" s="124"/>
      <c r="D1" s="1276" t="s">
        <v>327</v>
      </c>
      <c r="E1" s="1276"/>
      <c r="F1" s="1276"/>
      <c r="G1" s="1276"/>
      <c r="H1" s="1276"/>
      <c r="I1" s="870"/>
    </row>
    <row r="2" spans="1:9" s="125" customFormat="1" ht="17.25" customHeight="1" x14ac:dyDescent="0.25">
      <c r="A2" s="126"/>
      <c r="B2" s="126"/>
      <c r="C2" s="126"/>
      <c r="D2" s="1277" t="s">
        <v>328</v>
      </c>
      <c r="E2" s="1277"/>
      <c r="F2" s="1277"/>
      <c r="G2" s="1277"/>
      <c r="H2" s="1277"/>
      <c r="I2" s="870"/>
    </row>
    <row r="3" spans="1:9" s="125" customFormat="1" ht="12" customHeight="1" x14ac:dyDescent="0.25">
      <c r="A3" s="127"/>
      <c r="B3" s="127"/>
      <c r="C3" s="127"/>
      <c r="D3" s="1275" t="s">
        <v>329</v>
      </c>
      <c r="E3" s="1275"/>
      <c r="F3" s="1275"/>
      <c r="G3" s="1275"/>
      <c r="H3" s="1275"/>
      <c r="I3" s="870"/>
    </row>
    <row r="4" spans="1:9" s="125" customFormat="1" ht="17.25" customHeight="1" x14ac:dyDescent="0.25">
      <c r="D4" s="1278"/>
      <c r="E4" s="1278"/>
      <c r="F4" s="1278" t="str">
        <f>сВДЛ!F4</f>
        <v>М.В. Златова</v>
      </c>
      <c r="G4" s="1278"/>
      <c r="H4" s="1278"/>
      <c r="I4" s="870"/>
    </row>
    <row r="5" spans="1:9" s="125" customFormat="1" ht="10.5" customHeight="1" x14ac:dyDescent="0.25">
      <c r="A5" s="128"/>
      <c r="D5" s="1275" t="s">
        <v>330</v>
      </c>
      <c r="E5" s="1275"/>
      <c r="F5" s="1275" t="s">
        <v>331</v>
      </c>
      <c r="G5" s="1275"/>
      <c r="H5" s="1275"/>
      <c r="I5" s="870"/>
    </row>
    <row r="6" spans="1:9" s="125" customFormat="1" ht="15" customHeight="1" x14ac:dyDescent="0.25">
      <c r="A6" s="1268" t="s">
        <v>332</v>
      </c>
      <c r="B6" s="1268"/>
      <c r="C6" s="1268"/>
      <c r="D6" s="1268"/>
      <c r="E6" s="1268"/>
      <c r="F6" s="1268"/>
      <c r="G6" s="1268"/>
      <c r="H6" s="1268"/>
      <c r="I6" s="815"/>
    </row>
    <row r="7" spans="1:9" s="125" customFormat="1" ht="15" customHeight="1" x14ac:dyDescent="0.25">
      <c r="A7" s="1268" t="str">
        <f>'СВОД смет'!A7:H7</f>
        <v>на 2020 год</v>
      </c>
      <c r="B7" s="1268"/>
      <c r="C7" s="1268"/>
      <c r="D7" s="1268"/>
      <c r="E7" s="1268"/>
      <c r="F7" s="1268"/>
      <c r="G7" s="1268"/>
      <c r="H7" s="1268"/>
      <c r="I7" s="815"/>
    </row>
    <row r="8" spans="1:9" s="125" customFormat="1" ht="13.5" customHeight="1" x14ac:dyDescent="0.25">
      <c r="A8" s="129"/>
      <c r="B8" s="129"/>
      <c r="C8" s="129"/>
      <c r="D8" s="129"/>
      <c r="E8" s="1269"/>
      <c r="F8" s="1270"/>
      <c r="G8" s="1271" t="s">
        <v>333</v>
      </c>
      <c r="H8" s="1272"/>
      <c r="I8" s="816"/>
    </row>
    <row r="9" spans="1:9" s="125" customFormat="1" ht="13.5" customHeight="1" x14ac:dyDescent="0.25">
      <c r="A9" s="1273" t="s">
        <v>334</v>
      </c>
      <c r="B9" s="1273"/>
      <c r="C9" s="1273"/>
      <c r="D9" s="1274"/>
      <c r="E9" s="1265" t="s">
        <v>335</v>
      </c>
      <c r="F9" s="1265"/>
      <c r="G9" s="1266">
        <v>4109076</v>
      </c>
      <c r="H9" s="1266"/>
      <c r="I9" s="817"/>
    </row>
    <row r="10" spans="1:9" s="125" customFormat="1" ht="13.5" customHeight="1" x14ac:dyDescent="0.25">
      <c r="A10" s="1263" t="s">
        <v>336</v>
      </c>
      <c r="B10" s="1263"/>
      <c r="C10" s="1263"/>
      <c r="D10" s="1264"/>
      <c r="E10" s="1265" t="s">
        <v>337</v>
      </c>
      <c r="F10" s="1265"/>
      <c r="G10" s="1266"/>
      <c r="H10" s="1266"/>
      <c r="I10" s="817"/>
    </row>
    <row r="11" spans="1:9" s="125" customFormat="1" ht="13.5" customHeight="1" x14ac:dyDescent="0.25">
      <c r="A11" s="140" t="s">
        <v>338</v>
      </c>
      <c r="B11" s="130"/>
      <c r="C11" s="130"/>
      <c r="D11" s="130"/>
      <c r="E11" s="1265" t="s">
        <v>339</v>
      </c>
      <c r="F11" s="1265"/>
      <c r="G11" s="1266">
        <v>384</v>
      </c>
      <c r="H11" s="1266"/>
      <c r="I11" s="818"/>
    </row>
    <row r="12" spans="1:9" s="1" customFormat="1" ht="31.5" customHeight="1" x14ac:dyDescent="0.25">
      <c r="A12" s="1279" t="s">
        <v>167</v>
      </c>
      <c r="B12" s="1279"/>
      <c r="C12" s="1279"/>
      <c r="D12" s="1279"/>
      <c r="E12" s="1279"/>
      <c r="F12" s="1279"/>
      <c r="G12" s="1279"/>
      <c r="H12" s="1279"/>
      <c r="I12" s="871"/>
    </row>
    <row r="13" spans="1:9" s="1" customFormat="1" ht="6" customHeight="1" x14ac:dyDescent="0.25">
      <c r="E13" s="131"/>
      <c r="F13" s="131"/>
      <c r="G13" s="131"/>
      <c r="H13" s="131"/>
      <c r="I13" s="871"/>
    </row>
    <row r="14" spans="1:9" s="1" customFormat="1" x14ac:dyDescent="0.25">
      <c r="A14" s="1258" t="s">
        <v>340</v>
      </c>
      <c r="B14" s="1259" t="s">
        <v>341</v>
      </c>
      <c r="C14" s="1260"/>
      <c r="D14" s="1260"/>
      <c r="E14" s="1260"/>
      <c r="F14" s="1260"/>
      <c r="G14" s="1261"/>
      <c r="H14" s="1262" t="s">
        <v>661</v>
      </c>
      <c r="I14" s="871"/>
    </row>
    <row r="15" spans="1:9" ht="46.5" customHeight="1" x14ac:dyDescent="0.25">
      <c r="A15" s="1258"/>
      <c r="B15" s="141" t="s">
        <v>99</v>
      </c>
      <c r="C15" s="141" t="s">
        <v>100</v>
      </c>
      <c r="D15" s="142" t="s">
        <v>101</v>
      </c>
      <c r="E15" s="141" t="s">
        <v>342</v>
      </c>
      <c r="F15" s="142" t="s">
        <v>343</v>
      </c>
      <c r="G15" s="142" t="s">
        <v>344</v>
      </c>
      <c r="H15" s="1262"/>
      <c r="I15" s="872"/>
    </row>
    <row r="16" spans="1:9" x14ac:dyDescent="0.25">
      <c r="A16" s="564" t="s">
        <v>640</v>
      </c>
      <c r="B16" s="581" t="s">
        <v>116</v>
      </c>
      <c r="C16" s="581" t="s">
        <v>168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233.2</v>
      </c>
    </row>
    <row r="17" spans="1:8" x14ac:dyDescent="0.25">
      <c r="A17" s="565" t="s">
        <v>641</v>
      </c>
      <c r="B17" s="577"/>
      <c r="C17" s="577"/>
      <c r="D17" s="577"/>
      <c r="E17" s="577"/>
      <c r="F17" s="558">
        <v>210</v>
      </c>
      <c r="G17" s="558"/>
      <c r="H17" s="578">
        <f>H18+H19+H21+H22</f>
        <v>0</v>
      </c>
    </row>
    <row r="18" spans="1:8" x14ac:dyDescent="0.25">
      <c r="A18" s="566" t="s">
        <v>346</v>
      </c>
      <c r="B18" s="134"/>
      <c r="C18" s="134"/>
      <c r="D18" s="134"/>
      <c r="E18" s="498"/>
      <c r="F18" s="559">
        <v>211</v>
      </c>
      <c r="G18" s="559"/>
      <c r="H18" s="143"/>
    </row>
    <row r="19" spans="1:8" x14ac:dyDescent="0.25">
      <c r="A19" s="566" t="s">
        <v>642</v>
      </c>
      <c r="B19" s="134"/>
      <c r="C19" s="134"/>
      <c r="D19" s="134"/>
      <c r="E19" s="497"/>
      <c r="F19" s="559">
        <v>212</v>
      </c>
      <c r="G19" s="559"/>
      <c r="H19" s="143">
        <f>H20</f>
        <v>0</v>
      </c>
    </row>
    <row r="20" spans="1:8" x14ac:dyDescent="0.25">
      <c r="A20" s="567" t="s">
        <v>347</v>
      </c>
      <c r="B20" s="132"/>
      <c r="C20" s="132"/>
      <c r="D20" s="132"/>
      <c r="E20" s="496"/>
      <c r="F20" s="560">
        <v>212</v>
      </c>
      <c r="G20" s="560">
        <v>610</v>
      </c>
      <c r="H20" s="135"/>
    </row>
    <row r="21" spans="1:8" x14ac:dyDescent="0.25">
      <c r="A21" s="566" t="s">
        <v>643</v>
      </c>
      <c r="B21" s="134"/>
      <c r="C21" s="134"/>
      <c r="D21" s="134"/>
      <c r="E21" s="498"/>
      <c r="F21" s="559">
        <v>213</v>
      </c>
      <c r="G21" s="559"/>
      <c r="H21" s="143"/>
    </row>
    <row r="22" spans="1:8" ht="24" x14ac:dyDescent="0.25">
      <c r="A22" s="566" t="s">
        <v>644</v>
      </c>
      <c r="B22" s="134"/>
      <c r="C22" s="134"/>
      <c r="D22" s="134"/>
      <c r="E22" s="497"/>
      <c r="F22" s="559">
        <v>214</v>
      </c>
      <c r="G22" s="559"/>
      <c r="H22" s="143">
        <f>H23</f>
        <v>0</v>
      </c>
    </row>
    <row r="23" spans="1:8" x14ac:dyDescent="0.25">
      <c r="A23" s="567" t="s">
        <v>423</v>
      </c>
      <c r="B23" s="132"/>
      <c r="C23" s="132"/>
      <c r="D23" s="132"/>
      <c r="E23" s="496"/>
      <c r="F23" s="560">
        <v>214</v>
      </c>
      <c r="G23" s="560">
        <v>831</v>
      </c>
      <c r="H23" s="135"/>
    </row>
    <row r="24" spans="1:8" x14ac:dyDescent="0.25">
      <c r="A24" s="565" t="s">
        <v>645</v>
      </c>
      <c r="B24" s="577" t="s">
        <v>116</v>
      </c>
      <c r="C24" s="577" t="s">
        <v>168</v>
      </c>
      <c r="D24" s="577" t="s">
        <v>485</v>
      </c>
      <c r="E24" s="577" t="s">
        <v>126</v>
      </c>
      <c r="F24" s="558">
        <v>220</v>
      </c>
      <c r="G24" s="558"/>
      <c r="H24" s="578">
        <f>H25+H26+H28+H32+H36</f>
        <v>233.2</v>
      </c>
    </row>
    <row r="25" spans="1:8" x14ac:dyDescent="0.25">
      <c r="A25" s="566" t="s">
        <v>351</v>
      </c>
      <c r="B25" s="134"/>
      <c r="C25" s="134"/>
      <c r="D25" s="134"/>
      <c r="E25" s="134"/>
      <c r="F25" s="559">
        <v>221</v>
      </c>
      <c r="G25" s="559"/>
      <c r="H25" s="143"/>
    </row>
    <row r="26" spans="1:8" x14ac:dyDescent="0.25">
      <c r="A26" s="566" t="s">
        <v>646</v>
      </c>
      <c r="B26" s="134"/>
      <c r="C26" s="134"/>
      <c r="D26" s="134"/>
      <c r="E26" s="134"/>
      <c r="F26" s="559">
        <v>222</v>
      </c>
      <c r="G26" s="559"/>
      <c r="H26" s="143">
        <f>H27</f>
        <v>0</v>
      </c>
    </row>
    <row r="27" spans="1:8" x14ac:dyDescent="0.25">
      <c r="A27" s="567" t="s">
        <v>352</v>
      </c>
      <c r="B27" s="132"/>
      <c r="C27" s="132"/>
      <c r="D27" s="132"/>
      <c r="E27" s="132"/>
      <c r="F27" s="560">
        <v>222</v>
      </c>
      <c r="G27" s="560">
        <v>500</v>
      </c>
      <c r="H27" s="135"/>
    </row>
    <row r="28" spans="1:8" x14ac:dyDescent="0.25">
      <c r="A28" s="566" t="s">
        <v>353</v>
      </c>
      <c r="B28" s="134"/>
      <c r="C28" s="134"/>
      <c r="D28" s="134"/>
      <c r="E28" s="134"/>
      <c r="F28" s="559">
        <v>223</v>
      </c>
      <c r="G28" s="559"/>
      <c r="H28" s="143">
        <f>SUM(H29:H31)</f>
        <v>0</v>
      </c>
    </row>
    <row r="29" spans="1:8" x14ac:dyDescent="0.25">
      <c r="A29" s="567" t="s">
        <v>354</v>
      </c>
      <c r="B29" s="132"/>
      <c r="C29" s="132"/>
      <c r="D29" s="132"/>
      <c r="E29" s="132"/>
      <c r="F29" s="560">
        <v>223</v>
      </c>
      <c r="G29" s="560">
        <v>721</v>
      </c>
      <c r="H29" s="135"/>
    </row>
    <row r="30" spans="1:8" x14ac:dyDescent="0.25">
      <c r="A30" s="567" t="s">
        <v>355</v>
      </c>
      <c r="B30" s="132"/>
      <c r="C30" s="132"/>
      <c r="D30" s="132"/>
      <c r="E30" s="132"/>
      <c r="F30" s="560">
        <v>223</v>
      </c>
      <c r="G30" s="560">
        <v>730</v>
      </c>
      <c r="H30" s="135"/>
    </row>
    <row r="31" spans="1:8" x14ac:dyDescent="0.25">
      <c r="A31" s="567" t="s">
        <v>356</v>
      </c>
      <c r="B31" s="132"/>
      <c r="C31" s="132"/>
      <c r="D31" s="132"/>
      <c r="E31" s="132"/>
      <c r="F31" s="560">
        <v>223</v>
      </c>
      <c r="G31" s="560">
        <v>740</v>
      </c>
      <c r="H31" s="135"/>
    </row>
    <row r="32" spans="1:8" x14ac:dyDescent="0.25">
      <c r="A32" s="566" t="s">
        <v>647</v>
      </c>
      <c r="B32" s="134"/>
      <c r="C32" s="134"/>
      <c r="D32" s="134"/>
      <c r="E32" s="134"/>
      <c r="F32" s="559">
        <v>225</v>
      </c>
      <c r="G32" s="559"/>
      <c r="H32" s="143">
        <f>SUM(H33:H35)</f>
        <v>0</v>
      </c>
    </row>
    <row r="33" spans="1:9" x14ac:dyDescent="0.25">
      <c r="A33" s="549" t="s">
        <v>171</v>
      </c>
      <c r="B33" s="132"/>
      <c r="C33" s="132"/>
      <c r="D33" s="132"/>
      <c r="E33" s="132"/>
      <c r="F33" s="561">
        <v>225</v>
      </c>
      <c r="G33" s="561" t="s">
        <v>357</v>
      </c>
      <c r="H33" s="135"/>
    </row>
    <row r="34" spans="1:9" ht="24" x14ac:dyDescent="0.25">
      <c r="A34" s="567" t="s">
        <v>648</v>
      </c>
      <c r="B34" s="132"/>
      <c r="C34" s="132"/>
      <c r="D34" s="132"/>
      <c r="E34" s="132"/>
      <c r="F34" s="560">
        <v>225</v>
      </c>
      <c r="G34" s="560" t="s">
        <v>358</v>
      </c>
      <c r="H34" s="135"/>
      <c r="I34" s="873"/>
    </row>
    <row r="35" spans="1:9" x14ac:dyDescent="0.25">
      <c r="A35" s="567" t="s">
        <v>649</v>
      </c>
      <c r="B35" s="134"/>
      <c r="C35" s="134"/>
      <c r="D35" s="134"/>
      <c r="E35" s="134"/>
      <c r="F35" s="560">
        <v>225</v>
      </c>
      <c r="G35" s="560" t="s">
        <v>660</v>
      </c>
      <c r="H35" s="135"/>
    </row>
    <row r="36" spans="1:9" x14ac:dyDescent="0.25">
      <c r="A36" s="566" t="s">
        <v>562</v>
      </c>
      <c r="B36" s="134" t="s">
        <v>116</v>
      </c>
      <c r="C36" s="134" t="s">
        <v>168</v>
      </c>
      <c r="D36" s="134" t="s">
        <v>170</v>
      </c>
      <c r="E36" s="134" t="s">
        <v>416</v>
      </c>
      <c r="F36" s="559" t="s">
        <v>350</v>
      </c>
      <c r="G36" s="559"/>
      <c r="H36" s="143">
        <f>SUM(H37:H43)</f>
        <v>233.2</v>
      </c>
    </row>
    <row r="37" spans="1:9" x14ac:dyDescent="0.25">
      <c r="A37" s="567" t="s">
        <v>359</v>
      </c>
      <c r="B37" s="132"/>
      <c r="C37" s="132"/>
      <c r="D37" s="132"/>
      <c r="E37" s="132"/>
      <c r="F37" s="560">
        <v>226</v>
      </c>
      <c r="G37" s="560" t="s">
        <v>360</v>
      </c>
      <c r="H37" s="135"/>
      <c r="I37" s="874"/>
    </row>
    <row r="38" spans="1:9" x14ac:dyDescent="0.25">
      <c r="A38" s="567" t="s">
        <v>361</v>
      </c>
      <c r="B38" s="132" t="s">
        <v>116</v>
      </c>
      <c r="C38" s="132" t="s">
        <v>168</v>
      </c>
      <c r="D38" s="132" t="s">
        <v>170</v>
      </c>
      <c r="E38" s="132" t="s">
        <v>416</v>
      </c>
      <c r="F38" s="560">
        <v>226</v>
      </c>
      <c r="G38" s="560" t="s">
        <v>362</v>
      </c>
      <c r="H38" s="135">
        <f>рГОиЧС!H12</f>
        <v>233.2</v>
      </c>
      <c r="I38" s="611">
        <v>233200</v>
      </c>
    </row>
    <row r="39" spans="1:9" ht="24" x14ac:dyDescent="0.25">
      <c r="A39" s="567" t="s">
        <v>650</v>
      </c>
      <c r="B39" s="132"/>
      <c r="C39" s="132"/>
      <c r="D39" s="132"/>
      <c r="E39" s="132"/>
      <c r="F39" s="560">
        <v>226</v>
      </c>
      <c r="G39" s="560" t="s">
        <v>363</v>
      </c>
      <c r="H39" s="135"/>
    </row>
    <row r="40" spans="1:9" x14ac:dyDescent="0.25">
      <c r="A40" s="567" t="s">
        <v>348</v>
      </c>
      <c r="B40" s="132"/>
      <c r="C40" s="132"/>
      <c r="D40" s="132"/>
      <c r="E40" s="496"/>
      <c r="F40" s="560">
        <v>226</v>
      </c>
      <c r="G40" s="560">
        <v>620</v>
      </c>
      <c r="H40" s="135"/>
    </row>
    <row r="41" spans="1:9" x14ac:dyDescent="0.25">
      <c r="A41" s="567" t="s">
        <v>349</v>
      </c>
      <c r="B41" s="132"/>
      <c r="C41" s="132"/>
      <c r="D41" s="132"/>
      <c r="E41" s="496"/>
      <c r="F41" s="560">
        <v>226</v>
      </c>
      <c r="G41" s="560">
        <v>630</v>
      </c>
      <c r="H41" s="135"/>
    </row>
    <row r="42" spans="1:9" x14ac:dyDescent="0.25">
      <c r="A42" s="567" t="s">
        <v>697</v>
      </c>
      <c r="B42" s="132"/>
      <c r="C42" s="132"/>
      <c r="D42" s="132"/>
      <c r="E42" s="132"/>
      <c r="F42" s="560">
        <v>226</v>
      </c>
      <c r="G42" s="560">
        <v>843</v>
      </c>
      <c r="H42" s="135"/>
    </row>
    <row r="43" spans="1:9" x14ac:dyDescent="0.25">
      <c r="A43" s="549" t="s">
        <v>371</v>
      </c>
      <c r="B43" s="144"/>
      <c r="C43" s="144"/>
      <c r="D43" s="144"/>
      <c r="E43" s="144"/>
      <c r="F43" s="561">
        <v>226</v>
      </c>
      <c r="G43" s="561">
        <v>845</v>
      </c>
      <c r="H43" s="572"/>
    </row>
    <row r="44" spans="1:9" ht="25.5" x14ac:dyDescent="0.25">
      <c r="A44" s="579" t="s">
        <v>636</v>
      </c>
      <c r="B44" s="574"/>
      <c r="C44" s="574"/>
      <c r="D44" s="574"/>
      <c r="E44" s="574"/>
      <c r="F44" s="558">
        <v>240</v>
      </c>
      <c r="G44" s="558"/>
      <c r="H44" s="575">
        <f>H45</f>
        <v>0</v>
      </c>
    </row>
    <row r="45" spans="1:9" ht="24" x14ac:dyDescent="0.25">
      <c r="A45" s="133" t="s">
        <v>639</v>
      </c>
      <c r="B45" s="144"/>
      <c r="C45" s="144"/>
      <c r="D45" s="144"/>
      <c r="E45" s="144"/>
      <c r="F45" s="563">
        <v>244</v>
      </c>
      <c r="G45" s="563"/>
      <c r="H45" s="573"/>
    </row>
    <row r="46" spans="1:9" x14ac:dyDescent="0.25">
      <c r="A46" s="565" t="s">
        <v>651</v>
      </c>
      <c r="B46" s="574"/>
      <c r="C46" s="574"/>
      <c r="D46" s="574"/>
      <c r="E46" s="574"/>
      <c r="F46" s="558" t="s">
        <v>364</v>
      </c>
      <c r="G46" s="558"/>
      <c r="H46" s="575">
        <f>H47</f>
        <v>0</v>
      </c>
      <c r="I46" s="873"/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574"/>
      <c r="C48" s="574"/>
      <c r="D48" s="574"/>
      <c r="E48" s="497"/>
      <c r="F48" s="558" t="s">
        <v>366</v>
      </c>
      <c r="G48" s="558"/>
      <c r="H48" s="575">
        <f>H49+H51</f>
        <v>0</v>
      </c>
    </row>
    <row r="49" spans="1:8" ht="24" x14ac:dyDescent="0.25">
      <c r="A49" s="566" t="s">
        <v>654</v>
      </c>
      <c r="B49" s="144"/>
      <c r="C49" s="144"/>
      <c r="D49" s="144"/>
      <c r="E49" s="144"/>
      <c r="F49" s="559">
        <v>264</v>
      </c>
      <c r="G49" s="559"/>
      <c r="H49" s="573">
        <f>H50</f>
        <v>0</v>
      </c>
    </row>
    <row r="50" spans="1:8" x14ac:dyDescent="0.25">
      <c r="A50" s="567" t="s">
        <v>367</v>
      </c>
      <c r="B50" s="134"/>
      <c r="C50" s="134"/>
      <c r="D50" s="134"/>
      <c r="E50" s="134"/>
      <c r="F50" s="560">
        <v>264</v>
      </c>
      <c r="G50" s="560" t="s">
        <v>368</v>
      </c>
      <c r="H50" s="135"/>
    </row>
    <row r="51" spans="1:8" ht="24" x14ac:dyDescent="0.25">
      <c r="A51" s="566" t="s">
        <v>382</v>
      </c>
      <c r="B51" s="134"/>
      <c r="C51" s="134"/>
      <c r="D51" s="134"/>
      <c r="E51" s="497"/>
      <c r="F51" s="559">
        <v>266</v>
      </c>
      <c r="G51" s="559"/>
      <c r="H51" s="143"/>
    </row>
    <row r="52" spans="1:8" x14ac:dyDescent="0.25">
      <c r="A52" s="565" t="s">
        <v>369</v>
      </c>
      <c r="B52" s="574"/>
      <c r="C52" s="574"/>
      <c r="D52" s="574"/>
      <c r="E52" s="574"/>
      <c r="F52" s="558" t="s">
        <v>370</v>
      </c>
      <c r="G52" s="558"/>
      <c r="H52" s="575">
        <f>SUM(H53:H58)</f>
        <v>0</v>
      </c>
    </row>
    <row r="53" spans="1:8" x14ac:dyDescent="0.25">
      <c r="A53" s="568" t="s">
        <v>379</v>
      </c>
      <c r="B53" s="278"/>
      <c r="C53" s="278"/>
      <c r="D53" s="278"/>
      <c r="E53" s="278"/>
      <c r="F53" s="562">
        <v>291</v>
      </c>
      <c r="G53" s="562"/>
      <c r="H53" s="573"/>
    </row>
    <row r="54" spans="1:8" x14ac:dyDescent="0.25">
      <c r="A54" s="568" t="s">
        <v>380</v>
      </c>
      <c r="B54" s="585"/>
      <c r="C54" s="585"/>
      <c r="D54" s="585"/>
      <c r="E54" s="585"/>
      <c r="F54" s="562">
        <v>292</v>
      </c>
      <c r="G54" s="562"/>
      <c r="H54" s="143"/>
    </row>
    <row r="55" spans="1:8" x14ac:dyDescent="0.25">
      <c r="A55" s="568" t="s">
        <v>381</v>
      </c>
      <c r="B55" s="585"/>
      <c r="C55" s="585"/>
      <c r="D55" s="585"/>
      <c r="E55" s="585"/>
      <c r="F55" s="562">
        <v>293</v>
      </c>
      <c r="G55" s="562"/>
      <c r="H55" s="143"/>
    </row>
    <row r="56" spans="1:8" x14ac:dyDescent="0.25">
      <c r="A56" s="568" t="s">
        <v>665</v>
      </c>
      <c r="B56" s="134"/>
      <c r="C56" s="134"/>
      <c r="D56" s="134"/>
      <c r="E56" s="134"/>
      <c r="F56" s="562">
        <v>295</v>
      </c>
      <c r="G56" s="562"/>
      <c r="H56" s="143"/>
    </row>
    <row r="57" spans="1:8" x14ac:dyDescent="0.25">
      <c r="A57" s="568" t="s">
        <v>655</v>
      </c>
      <c r="B57" s="585"/>
      <c r="C57" s="585"/>
      <c r="D57" s="585"/>
      <c r="E57" s="585"/>
      <c r="F57" s="562">
        <v>296</v>
      </c>
      <c r="G57" s="562"/>
      <c r="H57" s="143"/>
    </row>
    <row r="58" spans="1:8" x14ac:dyDescent="0.25">
      <c r="A58" s="568" t="s">
        <v>665</v>
      </c>
      <c r="B58" s="134"/>
      <c r="C58" s="134"/>
      <c r="D58" s="134"/>
      <c r="E58" s="134"/>
      <c r="F58" s="562">
        <v>297</v>
      </c>
      <c r="G58" s="562"/>
      <c r="H58" s="143"/>
    </row>
    <row r="59" spans="1:8" x14ac:dyDescent="0.25">
      <c r="A59" s="565" t="s">
        <v>656</v>
      </c>
      <c r="B59" s="574"/>
      <c r="C59" s="574"/>
      <c r="D59" s="574"/>
      <c r="E59" s="574"/>
      <c r="F59" s="558" t="s">
        <v>205</v>
      </c>
      <c r="G59" s="558"/>
      <c r="H59" s="575">
        <f>H60+H62+H63+H64</f>
        <v>0</v>
      </c>
    </row>
    <row r="60" spans="1:8" x14ac:dyDescent="0.25">
      <c r="A60" s="566" t="s">
        <v>372</v>
      </c>
      <c r="B60" s="278"/>
      <c r="C60" s="278"/>
      <c r="D60" s="278"/>
      <c r="E60" s="278"/>
      <c r="F60" s="563" t="s">
        <v>373</v>
      </c>
      <c r="G60" s="563"/>
      <c r="H60" s="573">
        <f>H61</f>
        <v>0</v>
      </c>
    </row>
    <row r="61" spans="1:8" x14ac:dyDescent="0.25">
      <c r="A61" s="567" t="s">
        <v>374</v>
      </c>
      <c r="B61" s="132"/>
      <c r="C61" s="132"/>
      <c r="D61" s="132"/>
      <c r="E61" s="132"/>
      <c r="F61" s="560">
        <v>310</v>
      </c>
      <c r="G61" s="560" t="s">
        <v>375</v>
      </c>
      <c r="H61" s="135"/>
    </row>
    <row r="62" spans="1:8" x14ac:dyDescent="0.25">
      <c r="A62" s="569" t="s">
        <v>657</v>
      </c>
      <c r="B62" s="134"/>
      <c r="C62" s="134"/>
      <c r="D62" s="134"/>
      <c r="E62" s="134"/>
      <c r="F62" s="563">
        <v>343</v>
      </c>
      <c r="G62" s="563"/>
      <c r="H62" s="143"/>
    </row>
    <row r="63" spans="1:8" ht="24" x14ac:dyDescent="0.25">
      <c r="A63" s="569" t="s">
        <v>658</v>
      </c>
      <c r="B63" s="134"/>
      <c r="C63" s="134"/>
      <c r="D63" s="134"/>
      <c r="E63" s="134"/>
      <c r="F63" s="563">
        <v>346</v>
      </c>
      <c r="G63" s="563"/>
      <c r="H63" s="143"/>
    </row>
    <row r="64" spans="1:8" ht="24" x14ac:dyDescent="0.25">
      <c r="A64" s="569" t="s">
        <v>659</v>
      </c>
      <c r="B64" s="134"/>
      <c r="C64" s="134"/>
      <c r="D64" s="134"/>
      <c r="E64" s="134"/>
      <c r="F64" s="563">
        <v>349</v>
      </c>
      <c r="G64" s="563"/>
      <c r="H64" s="143"/>
    </row>
    <row r="65" spans="1:9" x14ac:dyDescent="0.25">
      <c r="A65" s="569" t="s">
        <v>487</v>
      </c>
      <c r="B65" s="134" t="s">
        <v>116</v>
      </c>
      <c r="C65" s="134" t="s">
        <v>168</v>
      </c>
      <c r="D65" s="134" t="s">
        <v>170</v>
      </c>
      <c r="E65" s="134" t="s">
        <v>126</v>
      </c>
      <c r="F65" s="563"/>
      <c r="G65" s="563"/>
      <c r="H65" s="143">
        <f>H36</f>
        <v>233.2</v>
      </c>
    </row>
    <row r="66" spans="1:9" x14ac:dyDescent="0.25">
      <c r="A66" s="571" t="s">
        <v>377</v>
      </c>
      <c r="B66" s="134" t="s">
        <v>116</v>
      </c>
      <c r="C66" s="134" t="s">
        <v>168</v>
      </c>
      <c r="D66" s="134" t="s">
        <v>485</v>
      </c>
      <c r="E66" s="134" t="s">
        <v>345</v>
      </c>
      <c r="F66" s="570"/>
      <c r="G66" s="570"/>
      <c r="H66" s="143">
        <f>H59+H16</f>
        <v>233.2</v>
      </c>
      <c r="I66" s="611">
        <f>SUM(I16:I64)</f>
        <v>233200</v>
      </c>
    </row>
    <row r="67" spans="1:9" x14ac:dyDescent="0.25">
      <c r="A67" s="136"/>
      <c r="B67" s="137"/>
      <c r="C67" s="137"/>
      <c r="D67" s="137"/>
      <c r="E67" s="137"/>
      <c r="F67" s="137"/>
      <c r="G67" s="137"/>
      <c r="H67" s="138"/>
    </row>
    <row r="68" spans="1:9" x14ac:dyDescent="0.25">
      <c r="I68" s="873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2"/>
  <sheetViews>
    <sheetView workbookViewId="0">
      <selection activeCell="H9" sqref="H9:H11"/>
    </sheetView>
  </sheetViews>
  <sheetFormatPr defaultRowHeight="15" x14ac:dyDescent="0.25"/>
  <cols>
    <col min="1" max="1" width="4" style="279" customWidth="1"/>
    <col min="2" max="2" width="27" style="279" customWidth="1"/>
    <col min="3" max="4" width="6.7109375" style="279" customWidth="1"/>
    <col min="5" max="5" width="9.85546875" style="279" customWidth="1"/>
    <col min="6" max="6" width="10.28515625" style="279" customWidth="1"/>
    <col min="7" max="7" width="11.7109375" style="279" customWidth="1"/>
    <col min="8" max="8" width="11.5703125" style="279" customWidth="1"/>
    <col min="9" max="9" width="12.5703125" style="279" customWidth="1"/>
    <col min="10" max="10" width="10.5703125" style="279" bestFit="1" customWidth="1"/>
    <col min="11" max="11" width="9.140625" style="279"/>
    <col min="12" max="12" width="12.140625" style="279" customWidth="1"/>
    <col min="13" max="254" width="9.140625" style="279"/>
    <col min="255" max="255" width="4" style="279" customWidth="1"/>
    <col min="256" max="256" width="10.5703125" style="279" customWidth="1"/>
    <col min="257" max="257" width="11.140625" style="279" customWidth="1"/>
    <col min="258" max="258" width="8.7109375" style="279" customWidth="1"/>
    <col min="259" max="259" width="8" style="279" customWidth="1"/>
    <col min="260" max="260" width="10.28515625" style="279" customWidth="1"/>
    <col min="261" max="261" width="7.140625" style="279" customWidth="1"/>
    <col min="262" max="262" width="6.85546875" style="279" customWidth="1"/>
    <col min="263" max="263" width="11.7109375" style="279" customWidth="1"/>
    <col min="264" max="264" width="11.5703125" style="279" customWidth="1"/>
    <col min="265" max="265" width="9.140625" style="279"/>
    <col min="266" max="266" width="10.5703125" style="279" bestFit="1" customWidth="1"/>
    <col min="267" max="267" width="9.140625" style="279"/>
    <col min="268" max="268" width="12.140625" style="279" customWidth="1"/>
    <col min="269" max="510" width="9.140625" style="279"/>
    <col min="511" max="511" width="4" style="279" customWidth="1"/>
    <col min="512" max="512" width="10.5703125" style="279" customWidth="1"/>
    <col min="513" max="513" width="11.140625" style="279" customWidth="1"/>
    <col min="514" max="514" width="8.7109375" style="279" customWidth="1"/>
    <col min="515" max="515" width="8" style="279" customWidth="1"/>
    <col min="516" max="516" width="10.28515625" style="279" customWidth="1"/>
    <col min="517" max="517" width="7.140625" style="279" customWidth="1"/>
    <col min="518" max="518" width="6.85546875" style="279" customWidth="1"/>
    <col min="519" max="519" width="11.7109375" style="279" customWidth="1"/>
    <col min="520" max="520" width="11.5703125" style="279" customWidth="1"/>
    <col min="521" max="521" width="9.140625" style="279"/>
    <col min="522" max="522" width="10.5703125" style="279" bestFit="1" customWidth="1"/>
    <col min="523" max="523" width="9.140625" style="279"/>
    <col min="524" max="524" width="12.140625" style="279" customWidth="1"/>
    <col min="525" max="766" width="9.140625" style="279"/>
    <col min="767" max="767" width="4" style="279" customWidth="1"/>
    <col min="768" max="768" width="10.5703125" style="279" customWidth="1"/>
    <col min="769" max="769" width="11.140625" style="279" customWidth="1"/>
    <col min="770" max="770" width="8.7109375" style="279" customWidth="1"/>
    <col min="771" max="771" width="8" style="279" customWidth="1"/>
    <col min="772" max="772" width="10.28515625" style="279" customWidth="1"/>
    <col min="773" max="773" width="7.140625" style="279" customWidth="1"/>
    <col min="774" max="774" width="6.85546875" style="279" customWidth="1"/>
    <col min="775" max="775" width="11.7109375" style="279" customWidth="1"/>
    <col min="776" max="776" width="11.5703125" style="279" customWidth="1"/>
    <col min="777" max="777" width="9.140625" style="279"/>
    <col min="778" max="778" width="10.5703125" style="279" bestFit="1" customWidth="1"/>
    <col min="779" max="779" width="9.140625" style="279"/>
    <col min="780" max="780" width="12.140625" style="279" customWidth="1"/>
    <col min="781" max="1022" width="9.140625" style="279"/>
    <col min="1023" max="1023" width="4" style="279" customWidth="1"/>
    <col min="1024" max="1024" width="10.5703125" style="279" customWidth="1"/>
    <col min="1025" max="1025" width="11.140625" style="279" customWidth="1"/>
    <col min="1026" max="1026" width="8.7109375" style="279" customWidth="1"/>
    <col min="1027" max="1027" width="8" style="279" customWidth="1"/>
    <col min="1028" max="1028" width="10.28515625" style="279" customWidth="1"/>
    <col min="1029" max="1029" width="7.140625" style="279" customWidth="1"/>
    <col min="1030" max="1030" width="6.85546875" style="279" customWidth="1"/>
    <col min="1031" max="1031" width="11.7109375" style="279" customWidth="1"/>
    <col min="1032" max="1032" width="11.5703125" style="279" customWidth="1"/>
    <col min="1033" max="1033" width="9.140625" style="279"/>
    <col min="1034" max="1034" width="10.5703125" style="279" bestFit="1" customWidth="1"/>
    <col min="1035" max="1035" width="9.140625" style="279"/>
    <col min="1036" max="1036" width="12.140625" style="279" customWidth="1"/>
    <col min="1037" max="1278" width="9.140625" style="279"/>
    <col min="1279" max="1279" width="4" style="279" customWidth="1"/>
    <col min="1280" max="1280" width="10.5703125" style="279" customWidth="1"/>
    <col min="1281" max="1281" width="11.140625" style="279" customWidth="1"/>
    <col min="1282" max="1282" width="8.7109375" style="279" customWidth="1"/>
    <col min="1283" max="1283" width="8" style="279" customWidth="1"/>
    <col min="1284" max="1284" width="10.28515625" style="279" customWidth="1"/>
    <col min="1285" max="1285" width="7.140625" style="279" customWidth="1"/>
    <col min="1286" max="1286" width="6.85546875" style="279" customWidth="1"/>
    <col min="1287" max="1287" width="11.7109375" style="279" customWidth="1"/>
    <col min="1288" max="1288" width="11.5703125" style="279" customWidth="1"/>
    <col min="1289" max="1289" width="9.140625" style="279"/>
    <col min="1290" max="1290" width="10.5703125" style="279" bestFit="1" customWidth="1"/>
    <col min="1291" max="1291" width="9.140625" style="279"/>
    <col min="1292" max="1292" width="12.140625" style="279" customWidth="1"/>
    <col min="1293" max="1534" width="9.140625" style="279"/>
    <col min="1535" max="1535" width="4" style="279" customWidth="1"/>
    <col min="1536" max="1536" width="10.5703125" style="279" customWidth="1"/>
    <col min="1537" max="1537" width="11.140625" style="279" customWidth="1"/>
    <col min="1538" max="1538" width="8.7109375" style="279" customWidth="1"/>
    <col min="1539" max="1539" width="8" style="279" customWidth="1"/>
    <col min="1540" max="1540" width="10.28515625" style="279" customWidth="1"/>
    <col min="1541" max="1541" width="7.140625" style="279" customWidth="1"/>
    <col min="1542" max="1542" width="6.85546875" style="279" customWidth="1"/>
    <col min="1543" max="1543" width="11.7109375" style="279" customWidth="1"/>
    <col min="1544" max="1544" width="11.5703125" style="279" customWidth="1"/>
    <col min="1545" max="1545" width="9.140625" style="279"/>
    <col min="1546" max="1546" width="10.5703125" style="279" bestFit="1" customWidth="1"/>
    <col min="1547" max="1547" width="9.140625" style="279"/>
    <col min="1548" max="1548" width="12.140625" style="279" customWidth="1"/>
    <col min="1549" max="1790" width="9.140625" style="279"/>
    <col min="1791" max="1791" width="4" style="279" customWidth="1"/>
    <col min="1792" max="1792" width="10.5703125" style="279" customWidth="1"/>
    <col min="1793" max="1793" width="11.140625" style="279" customWidth="1"/>
    <col min="1794" max="1794" width="8.7109375" style="279" customWidth="1"/>
    <col min="1795" max="1795" width="8" style="279" customWidth="1"/>
    <col min="1796" max="1796" width="10.28515625" style="279" customWidth="1"/>
    <col min="1797" max="1797" width="7.140625" style="279" customWidth="1"/>
    <col min="1798" max="1798" width="6.85546875" style="279" customWidth="1"/>
    <col min="1799" max="1799" width="11.7109375" style="279" customWidth="1"/>
    <col min="1800" max="1800" width="11.5703125" style="279" customWidth="1"/>
    <col min="1801" max="1801" width="9.140625" style="279"/>
    <col min="1802" max="1802" width="10.5703125" style="279" bestFit="1" customWidth="1"/>
    <col min="1803" max="1803" width="9.140625" style="279"/>
    <col min="1804" max="1804" width="12.140625" style="279" customWidth="1"/>
    <col min="1805" max="2046" width="9.140625" style="279"/>
    <col min="2047" max="2047" width="4" style="279" customWidth="1"/>
    <col min="2048" max="2048" width="10.5703125" style="279" customWidth="1"/>
    <col min="2049" max="2049" width="11.140625" style="279" customWidth="1"/>
    <col min="2050" max="2050" width="8.7109375" style="279" customWidth="1"/>
    <col min="2051" max="2051" width="8" style="279" customWidth="1"/>
    <col min="2052" max="2052" width="10.28515625" style="279" customWidth="1"/>
    <col min="2053" max="2053" width="7.140625" style="279" customWidth="1"/>
    <col min="2054" max="2054" width="6.85546875" style="279" customWidth="1"/>
    <col min="2055" max="2055" width="11.7109375" style="279" customWidth="1"/>
    <col min="2056" max="2056" width="11.5703125" style="279" customWidth="1"/>
    <col min="2057" max="2057" width="9.140625" style="279"/>
    <col min="2058" max="2058" width="10.5703125" style="279" bestFit="1" customWidth="1"/>
    <col min="2059" max="2059" width="9.140625" style="279"/>
    <col min="2060" max="2060" width="12.140625" style="279" customWidth="1"/>
    <col min="2061" max="2302" width="9.140625" style="279"/>
    <col min="2303" max="2303" width="4" style="279" customWidth="1"/>
    <col min="2304" max="2304" width="10.5703125" style="279" customWidth="1"/>
    <col min="2305" max="2305" width="11.140625" style="279" customWidth="1"/>
    <col min="2306" max="2306" width="8.7109375" style="279" customWidth="1"/>
    <col min="2307" max="2307" width="8" style="279" customWidth="1"/>
    <col min="2308" max="2308" width="10.28515625" style="279" customWidth="1"/>
    <col min="2309" max="2309" width="7.140625" style="279" customWidth="1"/>
    <col min="2310" max="2310" width="6.85546875" style="279" customWidth="1"/>
    <col min="2311" max="2311" width="11.7109375" style="279" customWidth="1"/>
    <col min="2312" max="2312" width="11.5703125" style="279" customWidth="1"/>
    <col min="2313" max="2313" width="9.140625" style="279"/>
    <col min="2314" max="2314" width="10.5703125" style="279" bestFit="1" customWidth="1"/>
    <col min="2315" max="2315" width="9.140625" style="279"/>
    <col min="2316" max="2316" width="12.140625" style="279" customWidth="1"/>
    <col min="2317" max="2558" width="9.140625" style="279"/>
    <col min="2559" max="2559" width="4" style="279" customWidth="1"/>
    <col min="2560" max="2560" width="10.5703125" style="279" customWidth="1"/>
    <col min="2561" max="2561" width="11.140625" style="279" customWidth="1"/>
    <col min="2562" max="2562" width="8.7109375" style="279" customWidth="1"/>
    <col min="2563" max="2563" width="8" style="279" customWidth="1"/>
    <col min="2564" max="2564" width="10.28515625" style="279" customWidth="1"/>
    <col min="2565" max="2565" width="7.140625" style="279" customWidth="1"/>
    <col min="2566" max="2566" width="6.85546875" style="279" customWidth="1"/>
    <col min="2567" max="2567" width="11.7109375" style="279" customWidth="1"/>
    <col min="2568" max="2568" width="11.5703125" style="279" customWidth="1"/>
    <col min="2569" max="2569" width="9.140625" style="279"/>
    <col min="2570" max="2570" width="10.5703125" style="279" bestFit="1" customWidth="1"/>
    <col min="2571" max="2571" width="9.140625" style="279"/>
    <col min="2572" max="2572" width="12.140625" style="279" customWidth="1"/>
    <col min="2573" max="2814" width="9.140625" style="279"/>
    <col min="2815" max="2815" width="4" style="279" customWidth="1"/>
    <col min="2816" max="2816" width="10.5703125" style="279" customWidth="1"/>
    <col min="2817" max="2817" width="11.140625" style="279" customWidth="1"/>
    <col min="2818" max="2818" width="8.7109375" style="279" customWidth="1"/>
    <col min="2819" max="2819" width="8" style="279" customWidth="1"/>
    <col min="2820" max="2820" width="10.28515625" style="279" customWidth="1"/>
    <col min="2821" max="2821" width="7.140625" style="279" customWidth="1"/>
    <col min="2822" max="2822" width="6.85546875" style="279" customWidth="1"/>
    <col min="2823" max="2823" width="11.7109375" style="279" customWidth="1"/>
    <col min="2824" max="2824" width="11.5703125" style="279" customWidth="1"/>
    <col min="2825" max="2825" width="9.140625" style="279"/>
    <col min="2826" max="2826" width="10.5703125" style="279" bestFit="1" customWidth="1"/>
    <col min="2827" max="2827" width="9.140625" style="279"/>
    <col min="2828" max="2828" width="12.140625" style="279" customWidth="1"/>
    <col min="2829" max="3070" width="9.140625" style="279"/>
    <col min="3071" max="3071" width="4" style="279" customWidth="1"/>
    <col min="3072" max="3072" width="10.5703125" style="279" customWidth="1"/>
    <col min="3073" max="3073" width="11.140625" style="279" customWidth="1"/>
    <col min="3074" max="3074" width="8.7109375" style="279" customWidth="1"/>
    <col min="3075" max="3075" width="8" style="279" customWidth="1"/>
    <col min="3076" max="3076" width="10.28515625" style="279" customWidth="1"/>
    <col min="3077" max="3077" width="7.140625" style="279" customWidth="1"/>
    <col min="3078" max="3078" width="6.85546875" style="279" customWidth="1"/>
    <col min="3079" max="3079" width="11.7109375" style="279" customWidth="1"/>
    <col min="3080" max="3080" width="11.5703125" style="279" customWidth="1"/>
    <col min="3081" max="3081" width="9.140625" style="279"/>
    <col min="3082" max="3082" width="10.5703125" style="279" bestFit="1" customWidth="1"/>
    <col min="3083" max="3083" width="9.140625" style="279"/>
    <col min="3084" max="3084" width="12.140625" style="279" customWidth="1"/>
    <col min="3085" max="3326" width="9.140625" style="279"/>
    <col min="3327" max="3327" width="4" style="279" customWidth="1"/>
    <col min="3328" max="3328" width="10.5703125" style="279" customWidth="1"/>
    <col min="3329" max="3329" width="11.140625" style="279" customWidth="1"/>
    <col min="3330" max="3330" width="8.7109375" style="279" customWidth="1"/>
    <col min="3331" max="3331" width="8" style="279" customWidth="1"/>
    <col min="3332" max="3332" width="10.28515625" style="279" customWidth="1"/>
    <col min="3333" max="3333" width="7.140625" style="279" customWidth="1"/>
    <col min="3334" max="3334" width="6.85546875" style="279" customWidth="1"/>
    <col min="3335" max="3335" width="11.7109375" style="279" customWidth="1"/>
    <col min="3336" max="3336" width="11.5703125" style="279" customWidth="1"/>
    <col min="3337" max="3337" width="9.140625" style="279"/>
    <col min="3338" max="3338" width="10.5703125" style="279" bestFit="1" customWidth="1"/>
    <col min="3339" max="3339" width="9.140625" style="279"/>
    <col min="3340" max="3340" width="12.140625" style="279" customWidth="1"/>
    <col min="3341" max="3582" width="9.140625" style="279"/>
    <col min="3583" max="3583" width="4" style="279" customWidth="1"/>
    <col min="3584" max="3584" width="10.5703125" style="279" customWidth="1"/>
    <col min="3585" max="3585" width="11.140625" style="279" customWidth="1"/>
    <col min="3586" max="3586" width="8.7109375" style="279" customWidth="1"/>
    <col min="3587" max="3587" width="8" style="279" customWidth="1"/>
    <col min="3588" max="3588" width="10.28515625" style="279" customWidth="1"/>
    <col min="3589" max="3589" width="7.140625" style="279" customWidth="1"/>
    <col min="3590" max="3590" width="6.85546875" style="279" customWidth="1"/>
    <col min="3591" max="3591" width="11.7109375" style="279" customWidth="1"/>
    <col min="3592" max="3592" width="11.5703125" style="279" customWidth="1"/>
    <col min="3593" max="3593" width="9.140625" style="279"/>
    <col min="3594" max="3594" width="10.5703125" style="279" bestFit="1" customWidth="1"/>
    <col min="3595" max="3595" width="9.140625" style="279"/>
    <col min="3596" max="3596" width="12.140625" style="279" customWidth="1"/>
    <col min="3597" max="3838" width="9.140625" style="279"/>
    <col min="3839" max="3839" width="4" style="279" customWidth="1"/>
    <col min="3840" max="3840" width="10.5703125" style="279" customWidth="1"/>
    <col min="3841" max="3841" width="11.140625" style="279" customWidth="1"/>
    <col min="3842" max="3842" width="8.7109375" style="279" customWidth="1"/>
    <col min="3843" max="3843" width="8" style="279" customWidth="1"/>
    <col min="3844" max="3844" width="10.28515625" style="279" customWidth="1"/>
    <col min="3845" max="3845" width="7.140625" style="279" customWidth="1"/>
    <col min="3846" max="3846" width="6.85546875" style="279" customWidth="1"/>
    <col min="3847" max="3847" width="11.7109375" style="279" customWidth="1"/>
    <col min="3848" max="3848" width="11.5703125" style="279" customWidth="1"/>
    <col min="3849" max="3849" width="9.140625" style="279"/>
    <col min="3850" max="3850" width="10.5703125" style="279" bestFit="1" customWidth="1"/>
    <col min="3851" max="3851" width="9.140625" style="279"/>
    <col min="3852" max="3852" width="12.140625" style="279" customWidth="1"/>
    <col min="3853" max="4094" width="9.140625" style="279"/>
    <col min="4095" max="4095" width="4" style="279" customWidth="1"/>
    <col min="4096" max="4096" width="10.5703125" style="279" customWidth="1"/>
    <col min="4097" max="4097" width="11.140625" style="279" customWidth="1"/>
    <col min="4098" max="4098" width="8.7109375" style="279" customWidth="1"/>
    <col min="4099" max="4099" width="8" style="279" customWidth="1"/>
    <col min="4100" max="4100" width="10.28515625" style="279" customWidth="1"/>
    <col min="4101" max="4101" width="7.140625" style="279" customWidth="1"/>
    <col min="4102" max="4102" width="6.85546875" style="279" customWidth="1"/>
    <col min="4103" max="4103" width="11.7109375" style="279" customWidth="1"/>
    <col min="4104" max="4104" width="11.5703125" style="279" customWidth="1"/>
    <col min="4105" max="4105" width="9.140625" style="279"/>
    <col min="4106" max="4106" width="10.5703125" style="279" bestFit="1" customWidth="1"/>
    <col min="4107" max="4107" width="9.140625" style="279"/>
    <col min="4108" max="4108" width="12.140625" style="279" customWidth="1"/>
    <col min="4109" max="4350" width="9.140625" style="279"/>
    <col min="4351" max="4351" width="4" style="279" customWidth="1"/>
    <col min="4352" max="4352" width="10.5703125" style="279" customWidth="1"/>
    <col min="4353" max="4353" width="11.140625" style="279" customWidth="1"/>
    <col min="4354" max="4354" width="8.7109375" style="279" customWidth="1"/>
    <col min="4355" max="4355" width="8" style="279" customWidth="1"/>
    <col min="4356" max="4356" width="10.28515625" style="279" customWidth="1"/>
    <col min="4357" max="4357" width="7.140625" style="279" customWidth="1"/>
    <col min="4358" max="4358" width="6.85546875" style="279" customWidth="1"/>
    <col min="4359" max="4359" width="11.7109375" style="279" customWidth="1"/>
    <col min="4360" max="4360" width="11.5703125" style="279" customWidth="1"/>
    <col min="4361" max="4361" width="9.140625" style="279"/>
    <col min="4362" max="4362" width="10.5703125" style="279" bestFit="1" customWidth="1"/>
    <col min="4363" max="4363" width="9.140625" style="279"/>
    <col min="4364" max="4364" width="12.140625" style="279" customWidth="1"/>
    <col min="4365" max="4606" width="9.140625" style="279"/>
    <col min="4607" max="4607" width="4" style="279" customWidth="1"/>
    <col min="4608" max="4608" width="10.5703125" style="279" customWidth="1"/>
    <col min="4609" max="4609" width="11.140625" style="279" customWidth="1"/>
    <col min="4610" max="4610" width="8.7109375" style="279" customWidth="1"/>
    <col min="4611" max="4611" width="8" style="279" customWidth="1"/>
    <col min="4612" max="4612" width="10.28515625" style="279" customWidth="1"/>
    <col min="4613" max="4613" width="7.140625" style="279" customWidth="1"/>
    <col min="4614" max="4614" width="6.85546875" style="279" customWidth="1"/>
    <col min="4615" max="4615" width="11.7109375" style="279" customWidth="1"/>
    <col min="4616" max="4616" width="11.5703125" style="279" customWidth="1"/>
    <col min="4617" max="4617" width="9.140625" style="279"/>
    <col min="4618" max="4618" width="10.5703125" style="279" bestFit="1" customWidth="1"/>
    <col min="4619" max="4619" width="9.140625" style="279"/>
    <col min="4620" max="4620" width="12.140625" style="279" customWidth="1"/>
    <col min="4621" max="4862" width="9.140625" style="279"/>
    <col min="4863" max="4863" width="4" style="279" customWidth="1"/>
    <col min="4864" max="4864" width="10.5703125" style="279" customWidth="1"/>
    <col min="4865" max="4865" width="11.140625" style="279" customWidth="1"/>
    <col min="4866" max="4866" width="8.7109375" style="279" customWidth="1"/>
    <col min="4867" max="4867" width="8" style="279" customWidth="1"/>
    <col min="4868" max="4868" width="10.28515625" style="279" customWidth="1"/>
    <col min="4869" max="4869" width="7.140625" style="279" customWidth="1"/>
    <col min="4870" max="4870" width="6.85546875" style="279" customWidth="1"/>
    <col min="4871" max="4871" width="11.7109375" style="279" customWidth="1"/>
    <col min="4872" max="4872" width="11.5703125" style="279" customWidth="1"/>
    <col min="4873" max="4873" width="9.140625" style="279"/>
    <col min="4874" max="4874" width="10.5703125" style="279" bestFit="1" customWidth="1"/>
    <col min="4875" max="4875" width="9.140625" style="279"/>
    <col min="4876" max="4876" width="12.140625" style="279" customWidth="1"/>
    <col min="4877" max="5118" width="9.140625" style="279"/>
    <col min="5119" max="5119" width="4" style="279" customWidth="1"/>
    <col min="5120" max="5120" width="10.5703125" style="279" customWidth="1"/>
    <col min="5121" max="5121" width="11.140625" style="279" customWidth="1"/>
    <col min="5122" max="5122" width="8.7109375" style="279" customWidth="1"/>
    <col min="5123" max="5123" width="8" style="279" customWidth="1"/>
    <col min="5124" max="5124" width="10.28515625" style="279" customWidth="1"/>
    <col min="5125" max="5125" width="7.140625" style="279" customWidth="1"/>
    <col min="5126" max="5126" width="6.85546875" style="279" customWidth="1"/>
    <col min="5127" max="5127" width="11.7109375" style="279" customWidth="1"/>
    <col min="5128" max="5128" width="11.5703125" style="279" customWidth="1"/>
    <col min="5129" max="5129" width="9.140625" style="279"/>
    <col min="5130" max="5130" width="10.5703125" style="279" bestFit="1" customWidth="1"/>
    <col min="5131" max="5131" width="9.140625" style="279"/>
    <col min="5132" max="5132" width="12.140625" style="279" customWidth="1"/>
    <col min="5133" max="5374" width="9.140625" style="279"/>
    <col min="5375" max="5375" width="4" style="279" customWidth="1"/>
    <col min="5376" max="5376" width="10.5703125" style="279" customWidth="1"/>
    <col min="5377" max="5377" width="11.140625" style="279" customWidth="1"/>
    <col min="5378" max="5378" width="8.7109375" style="279" customWidth="1"/>
    <col min="5379" max="5379" width="8" style="279" customWidth="1"/>
    <col min="5380" max="5380" width="10.28515625" style="279" customWidth="1"/>
    <col min="5381" max="5381" width="7.140625" style="279" customWidth="1"/>
    <col min="5382" max="5382" width="6.85546875" style="279" customWidth="1"/>
    <col min="5383" max="5383" width="11.7109375" style="279" customWidth="1"/>
    <col min="5384" max="5384" width="11.5703125" style="279" customWidth="1"/>
    <col min="5385" max="5385" width="9.140625" style="279"/>
    <col min="5386" max="5386" width="10.5703125" style="279" bestFit="1" customWidth="1"/>
    <col min="5387" max="5387" width="9.140625" style="279"/>
    <col min="5388" max="5388" width="12.140625" style="279" customWidth="1"/>
    <col min="5389" max="5630" width="9.140625" style="279"/>
    <col min="5631" max="5631" width="4" style="279" customWidth="1"/>
    <col min="5632" max="5632" width="10.5703125" style="279" customWidth="1"/>
    <col min="5633" max="5633" width="11.140625" style="279" customWidth="1"/>
    <col min="5634" max="5634" width="8.7109375" style="279" customWidth="1"/>
    <col min="5635" max="5635" width="8" style="279" customWidth="1"/>
    <col min="5636" max="5636" width="10.28515625" style="279" customWidth="1"/>
    <col min="5637" max="5637" width="7.140625" style="279" customWidth="1"/>
    <col min="5638" max="5638" width="6.85546875" style="279" customWidth="1"/>
    <col min="5639" max="5639" width="11.7109375" style="279" customWidth="1"/>
    <col min="5640" max="5640" width="11.5703125" style="279" customWidth="1"/>
    <col min="5641" max="5641" width="9.140625" style="279"/>
    <col min="5642" max="5642" width="10.5703125" style="279" bestFit="1" customWidth="1"/>
    <col min="5643" max="5643" width="9.140625" style="279"/>
    <col min="5644" max="5644" width="12.140625" style="279" customWidth="1"/>
    <col min="5645" max="5886" width="9.140625" style="279"/>
    <col min="5887" max="5887" width="4" style="279" customWidth="1"/>
    <col min="5888" max="5888" width="10.5703125" style="279" customWidth="1"/>
    <col min="5889" max="5889" width="11.140625" style="279" customWidth="1"/>
    <col min="5890" max="5890" width="8.7109375" style="279" customWidth="1"/>
    <col min="5891" max="5891" width="8" style="279" customWidth="1"/>
    <col min="5892" max="5892" width="10.28515625" style="279" customWidth="1"/>
    <col min="5893" max="5893" width="7.140625" style="279" customWidth="1"/>
    <col min="5894" max="5894" width="6.85546875" style="279" customWidth="1"/>
    <col min="5895" max="5895" width="11.7109375" style="279" customWidth="1"/>
    <col min="5896" max="5896" width="11.5703125" style="279" customWidth="1"/>
    <col min="5897" max="5897" width="9.140625" style="279"/>
    <col min="5898" max="5898" width="10.5703125" style="279" bestFit="1" customWidth="1"/>
    <col min="5899" max="5899" width="9.140625" style="279"/>
    <col min="5900" max="5900" width="12.140625" style="279" customWidth="1"/>
    <col min="5901" max="6142" width="9.140625" style="279"/>
    <col min="6143" max="6143" width="4" style="279" customWidth="1"/>
    <col min="6144" max="6144" width="10.5703125" style="279" customWidth="1"/>
    <col min="6145" max="6145" width="11.140625" style="279" customWidth="1"/>
    <col min="6146" max="6146" width="8.7109375" style="279" customWidth="1"/>
    <col min="6147" max="6147" width="8" style="279" customWidth="1"/>
    <col min="6148" max="6148" width="10.28515625" style="279" customWidth="1"/>
    <col min="6149" max="6149" width="7.140625" style="279" customWidth="1"/>
    <col min="6150" max="6150" width="6.85546875" style="279" customWidth="1"/>
    <col min="6151" max="6151" width="11.7109375" style="279" customWidth="1"/>
    <col min="6152" max="6152" width="11.5703125" style="279" customWidth="1"/>
    <col min="6153" max="6153" width="9.140625" style="279"/>
    <col min="6154" max="6154" width="10.5703125" style="279" bestFit="1" customWidth="1"/>
    <col min="6155" max="6155" width="9.140625" style="279"/>
    <col min="6156" max="6156" width="12.140625" style="279" customWidth="1"/>
    <col min="6157" max="6398" width="9.140625" style="279"/>
    <col min="6399" max="6399" width="4" style="279" customWidth="1"/>
    <col min="6400" max="6400" width="10.5703125" style="279" customWidth="1"/>
    <col min="6401" max="6401" width="11.140625" style="279" customWidth="1"/>
    <col min="6402" max="6402" width="8.7109375" style="279" customWidth="1"/>
    <col min="6403" max="6403" width="8" style="279" customWidth="1"/>
    <col min="6404" max="6404" width="10.28515625" style="279" customWidth="1"/>
    <col min="6405" max="6405" width="7.140625" style="279" customWidth="1"/>
    <col min="6406" max="6406" width="6.85546875" style="279" customWidth="1"/>
    <col min="6407" max="6407" width="11.7109375" style="279" customWidth="1"/>
    <col min="6408" max="6408" width="11.5703125" style="279" customWidth="1"/>
    <col min="6409" max="6409" width="9.140625" style="279"/>
    <col min="6410" max="6410" width="10.5703125" style="279" bestFit="1" customWidth="1"/>
    <col min="6411" max="6411" width="9.140625" style="279"/>
    <col min="6412" max="6412" width="12.140625" style="279" customWidth="1"/>
    <col min="6413" max="6654" width="9.140625" style="279"/>
    <col min="6655" max="6655" width="4" style="279" customWidth="1"/>
    <col min="6656" max="6656" width="10.5703125" style="279" customWidth="1"/>
    <col min="6657" max="6657" width="11.140625" style="279" customWidth="1"/>
    <col min="6658" max="6658" width="8.7109375" style="279" customWidth="1"/>
    <col min="6659" max="6659" width="8" style="279" customWidth="1"/>
    <col min="6660" max="6660" width="10.28515625" style="279" customWidth="1"/>
    <col min="6661" max="6661" width="7.140625" style="279" customWidth="1"/>
    <col min="6662" max="6662" width="6.85546875" style="279" customWidth="1"/>
    <col min="6663" max="6663" width="11.7109375" style="279" customWidth="1"/>
    <col min="6664" max="6664" width="11.5703125" style="279" customWidth="1"/>
    <col min="6665" max="6665" width="9.140625" style="279"/>
    <col min="6666" max="6666" width="10.5703125" style="279" bestFit="1" customWidth="1"/>
    <col min="6667" max="6667" width="9.140625" style="279"/>
    <col min="6668" max="6668" width="12.140625" style="279" customWidth="1"/>
    <col min="6669" max="6910" width="9.140625" style="279"/>
    <col min="6911" max="6911" width="4" style="279" customWidth="1"/>
    <col min="6912" max="6912" width="10.5703125" style="279" customWidth="1"/>
    <col min="6913" max="6913" width="11.140625" style="279" customWidth="1"/>
    <col min="6914" max="6914" width="8.7109375" style="279" customWidth="1"/>
    <col min="6915" max="6915" width="8" style="279" customWidth="1"/>
    <col min="6916" max="6916" width="10.28515625" style="279" customWidth="1"/>
    <col min="6917" max="6917" width="7.140625" style="279" customWidth="1"/>
    <col min="6918" max="6918" width="6.85546875" style="279" customWidth="1"/>
    <col min="6919" max="6919" width="11.7109375" style="279" customWidth="1"/>
    <col min="6920" max="6920" width="11.5703125" style="279" customWidth="1"/>
    <col min="6921" max="6921" width="9.140625" style="279"/>
    <col min="6922" max="6922" width="10.5703125" style="279" bestFit="1" customWidth="1"/>
    <col min="6923" max="6923" width="9.140625" style="279"/>
    <col min="6924" max="6924" width="12.140625" style="279" customWidth="1"/>
    <col min="6925" max="7166" width="9.140625" style="279"/>
    <col min="7167" max="7167" width="4" style="279" customWidth="1"/>
    <col min="7168" max="7168" width="10.5703125" style="279" customWidth="1"/>
    <col min="7169" max="7169" width="11.140625" style="279" customWidth="1"/>
    <col min="7170" max="7170" width="8.7109375" style="279" customWidth="1"/>
    <col min="7171" max="7171" width="8" style="279" customWidth="1"/>
    <col min="7172" max="7172" width="10.28515625" style="279" customWidth="1"/>
    <col min="7173" max="7173" width="7.140625" style="279" customWidth="1"/>
    <col min="7174" max="7174" width="6.85546875" style="279" customWidth="1"/>
    <col min="7175" max="7175" width="11.7109375" style="279" customWidth="1"/>
    <col min="7176" max="7176" width="11.5703125" style="279" customWidth="1"/>
    <col min="7177" max="7177" width="9.140625" style="279"/>
    <col min="7178" max="7178" width="10.5703125" style="279" bestFit="1" customWidth="1"/>
    <col min="7179" max="7179" width="9.140625" style="279"/>
    <col min="7180" max="7180" width="12.140625" style="279" customWidth="1"/>
    <col min="7181" max="7422" width="9.140625" style="279"/>
    <col min="7423" max="7423" width="4" style="279" customWidth="1"/>
    <col min="7424" max="7424" width="10.5703125" style="279" customWidth="1"/>
    <col min="7425" max="7425" width="11.140625" style="279" customWidth="1"/>
    <col min="7426" max="7426" width="8.7109375" style="279" customWidth="1"/>
    <col min="7427" max="7427" width="8" style="279" customWidth="1"/>
    <col min="7428" max="7428" width="10.28515625" style="279" customWidth="1"/>
    <col min="7429" max="7429" width="7.140625" style="279" customWidth="1"/>
    <col min="7430" max="7430" width="6.85546875" style="279" customWidth="1"/>
    <col min="7431" max="7431" width="11.7109375" style="279" customWidth="1"/>
    <col min="7432" max="7432" width="11.5703125" style="279" customWidth="1"/>
    <col min="7433" max="7433" width="9.140625" style="279"/>
    <col min="7434" max="7434" width="10.5703125" style="279" bestFit="1" customWidth="1"/>
    <col min="7435" max="7435" width="9.140625" style="279"/>
    <col min="7436" max="7436" width="12.140625" style="279" customWidth="1"/>
    <col min="7437" max="7678" width="9.140625" style="279"/>
    <col min="7679" max="7679" width="4" style="279" customWidth="1"/>
    <col min="7680" max="7680" width="10.5703125" style="279" customWidth="1"/>
    <col min="7681" max="7681" width="11.140625" style="279" customWidth="1"/>
    <col min="7682" max="7682" width="8.7109375" style="279" customWidth="1"/>
    <col min="7683" max="7683" width="8" style="279" customWidth="1"/>
    <col min="7684" max="7684" width="10.28515625" style="279" customWidth="1"/>
    <col min="7685" max="7685" width="7.140625" style="279" customWidth="1"/>
    <col min="7686" max="7686" width="6.85546875" style="279" customWidth="1"/>
    <col min="7687" max="7687" width="11.7109375" style="279" customWidth="1"/>
    <col min="7688" max="7688" width="11.5703125" style="279" customWidth="1"/>
    <col min="7689" max="7689" width="9.140625" style="279"/>
    <col min="7690" max="7690" width="10.5703125" style="279" bestFit="1" customWidth="1"/>
    <col min="7691" max="7691" width="9.140625" style="279"/>
    <col min="7692" max="7692" width="12.140625" style="279" customWidth="1"/>
    <col min="7693" max="7934" width="9.140625" style="279"/>
    <col min="7935" max="7935" width="4" style="279" customWidth="1"/>
    <col min="7936" max="7936" width="10.5703125" style="279" customWidth="1"/>
    <col min="7937" max="7937" width="11.140625" style="279" customWidth="1"/>
    <col min="7938" max="7938" width="8.7109375" style="279" customWidth="1"/>
    <col min="7939" max="7939" width="8" style="279" customWidth="1"/>
    <col min="7940" max="7940" width="10.28515625" style="279" customWidth="1"/>
    <col min="7941" max="7941" width="7.140625" style="279" customWidth="1"/>
    <col min="7942" max="7942" width="6.85546875" style="279" customWidth="1"/>
    <col min="7943" max="7943" width="11.7109375" style="279" customWidth="1"/>
    <col min="7944" max="7944" width="11.5703125" style="279" customWidth="1"/>
    <col min="7945" max="7945" width="9.140625" style="279"/>
    <col min="7946" max="7946" width="10.5703125" style="279" bestFit="1" customWidth="1"/>
    <col min="7947" max="7947" width="9.140625" style="279"/>
    <col min="7948" max="7948" width="12.140625" style="279" customWidth="1"/>
    <col min="7949" max="8190" width="9.140625" style="279"/>
    <col min="8191" max="8191" width="4" style="279" customWidth="1"/>
    <col min="8192" max="8192" width="10.5703125" style="279" customWidth="1"/>
    <col min="8193" max="8193" width="11.140625" style="279" customWidth="1"/>
    <col min="8194" max="8194" width="8.7109375" style="279" customWidth="1"/>
    <col min="8195" max="8195" width="8" style="279" customWidth="1"/>
    <col min="8196" max="8196" width="10.28515625" style="279" customWidth="1"/>
    <col min="8197" max="8197" width="7.140625" style="279" customWidth="1"/>
    <col min="8198" max="8198" width="6.85546875" style="279" customWidth="1"/>
    <col min="8199" max="8199" width="11.7109375" style="279" customWidth="1"/>
    <col min="8200" max="8200" width="11.5703125" style="279" customWidth="1"/>
    <col min="8201" max="8201" width="9.140625" style="279"/>
    <col min="8202" max="8202" width="10.5703125" style="279" bestFit="1" customWidth="1"/>
    <col min="8203" max="8203" width="9.140625" style="279"/>
    <col min="8204" max="8204" width="12.140625" style="279" customWidth="1"/>
    <col min="8205" max="8446" width="9.140625" style="279"/>
    <col min="8447" max="8447" width="4" style="279" customWidth="1"/>
    <col min="8448" max="8448" width="10.5703125" style="279" customWidth="1"/>
    <col min="8449" max="8449" width="11.140625" style="279" customWidth="1"/>
    <col min="8450" max="8450" width="8.7109375" style="279" customWidth="1"/>
    <col min="8451" max="8451" width="8" style="279" customWidth="1"/>
    <col min="8452" max="8452" width="10.28515625" style="279" customWidth="1"/>
    <col min="8453" max="8453" width="7.140625" style="279" customWidth="1"/>
    <col min="8454" max="8454" width="6.85546875" style="279" customWidth="1"/>
    <col min="8455" max="8455" width="11.7109375" style="279" customWidth="1"/>
    <col min="8456" max="8456" width="11.5703125" style="279" customWidth="1"/>
    <col min="8457" max="8457" width="9.140625" style="279"/>
    <col min="8458" max="8458" width="10.5703125" style="279" bestFit="1" customWidth="1"/>
    <col min="8459" max="8459" width="9.140625" style="279"/>
    <col min="8460" max="8460" width="12.140625" style="279" customWidth="1"/>
    <col min="8461" max="8702" width="9.140625" style="279"/>
    <col min="8703" max="8703" width="4" style="279" customWidth="1"/>
    <col min="8704" max="8704" width="10.5703125" style="279" customWidth="1"/>
    <col min="8705" max="8705" width="11.140625" style="279" customWidth="1"/>
    <col min="8706" max="8706" width="8.7109375" style="279" customWidth="1"/>
    <col min="8707" max="8707" width="8" style="279" customWidth="1"/>
    <col min="8708" max="8708" width="10.28515625" style="279" customWidth="1"/>
    <col min="8709" max="8709" width="7.140625" style="279" customWidth="1"/>
    <col min="8710" max="8710" width="6.85546875" style="279" customWidth="1"/>
    <col min="8711" max="8711" width="11.7109375" style="279" customWidth="1"/>
    <col min="8712" max="8712" width="11.5703125" style="279" customWidth="1"/>
    <col min="8713" max="8713" width="9.140625" style="279"/>
    <col min="8714" max="8714" width="10.5703125" style="279" bestFit="1" customWidth="1"/>
    <col min="8715" max="8715" width="9.140625" style="279"/>
    <col min="8716" max="8716" width="12.140625" style="279" customWidth="1"/>
    <col min="8717" max="8958" width="9.140625" style="279"/>
    <col min="8959" max="8959" width="4" style="279" customWidth="1"/>
    <col min="8960" max="8960" width="10.5703125" style="279" customWidth="1"/>
    <col min="8961" max="8961" width="11.140625" style="279" customWidth="1"/>
    <col min="8962" max="8962" width="8.7109375" style="279" customWidth="1"/>
    <col min="8963" max="8963" width="8" style="279" customWidth="1"/>
    <col min="8964" max="8964" width="10.28515625" style="279" customWidth="1"/>
    <col min="8965" max="8965" width="7.140625" style="279" customWidth="1"/>
    <col min="8966" max="8966" width="6.85546875" style="279" customWidth="1"/>
    <col min="8967" max="8967" width="11.7109375" style="279" customWidth="1"/>
    <col min="8968" max="8968" width="11.5703125" style="279" customWidth="1"/>
    <col min="8969" max="8969" width="9.140625" style="279"/>
    <col min="8970" max="8970" width="10.5703125" style="279" bestFit="1" customWidth="1"/>
    <col min="8971" max="8971" width="9.140625" style="279"/>
    <col min="8972" max="8972" width="12.140625" style="279" customWidth="1"/>
    <col min="8973" max="9214" width="9.140625" style="279"/>
    <col min="9215" max="9215" width="4" style="279" customWidth="1"/>
    <col min="9216" max="9216" width="10.5703125" style="279" customWidth="1"/>
    <col min="9217" max="9217" width="11.140625" style="279" customWidth="1"/>
    <col min="9218" max="9218" width="8.7109375" style="279" customWidth="1"/>
    <col min="9219" max="9219" width="8" style="279" customWidth="1"/>
    <col min="9220" max="9220" width="10.28515625" style="279" customWidth="1"/>
    <col min="9221" max="9221" width="7.140625" style="279" customWidth="1"/>
    <col min="9222" max="9222" width="6.85546875" style="279" customWidth="1"/>
    <col min="9223" max="9223" width="11.7109375" style="279" customWidth="1"/>
    <col min="9224" max="9224" width="11.5703125" style="279" customWidth="1"/>
    <col min="9225" max="9225" width="9.140625" style="279"/>
    <col min="9226" max="9226" width="10.5703125" style="279" bestFit="1" customWidth="1"/>
    <col min="9227" max="9227" width="9.140625" style="279"/>
    <col min="9228" max="9228" width="12.140625" style="279" customWidth="1"/>
    <col min="9229" max="9470" width="9.140625" style="279"/>
    <col min="9471" max="9471" width="4" style="279" customWidth="1"/>
    <col min="9472" max="9472" width="10.5703125" style="279" customWidth="1"/>
    <col min="9473" max="9473" width="11.140625" style="279" customWidth="1"/>
    <col min="9474" max="9474" width="8.7109375" style="279" customWidth="1"/>
    <col min="9475" max="9475" width="8" style="279" customWidth="1"/>
    <col min="9476" max="9476" width="10.28515625" style="279" customWidth="1"/>
    <col min="9477" max="9477" width="7.140625" style="279" customWidth="1"/>
    <col min="9478" max="9478" width="6.85546875" style="279" customWidth="1"/>
    <col min="9479" max="9479" width="11.7109375" style="279" customWidth="1"/>
    <col min="9480" max="9480" width="11.5703125" style="279" customWidth="1"/>
    <col min="9481" max="9481" width="9.140625" style="279"/>
    <col min="9482" max="9482" width="10.5703125" style="279" bestFit="1" customWidth="1"/>
    <col min="9483" max="9483" width="9.140625" style="279"/>
    <col min="9484" max="9484" width="12.140625" style="279" customWidth="1"/>
    <col min="9485" max="9726" width="9.140625" style="279"/>
    <col min="9727" max="9727" width="4" style="279" customWidth="1"/>
    <col min="9728" max="9728" width="10.5703125" style="279" customWidth="1"/>
    <col min="9729" max="9729" width="11.140625" style="279" customWidth="1"/>
    <col min="9730" max="9730" width="8.7109375" style="279" customWidth="1"/>
    <col min="9731" max="9731" width="8" style="279" customWidth="1"/>
    <col min="9732" max="9732" width="10.28515625" style="279" customWidth="1"/>
    <col min="9733" max="9733" width="7.140625" style="279" customWidth="1"/>
    <col min="9734" max="9734" width="6.85546875" style="279" customWidth="1"/>
    <col min="9735" max="9735" width="11.7109375" style="279" customWidth="1"/>
    <col min="9736" max="9736" width="11.5703125" style="279" customWidth="1"/>
    <col min="9737" max="9737" width="9.140625" style="279"/>
    <col min="9738" max="9738" width="10.5703125" style="279" bestFit="1" customWidth="1"/>
    <col min="9739" max="9739" width="9.140625" style="279"/>
    <col min="9740" max="9740" width="12.140625" style="279" customWidth="1"/>
    <col min="9741" max="9982" width="9.140625" style="279"/>
    <col min="9983" max="9983" width="4" style="279" customWidth="1"/>
    <col min="9984" max="9984" width="10.5703125" style="279" customWidth="1"/>
    <col min="9985" max="9985" width="11.140625" style="279" customWidth="1"/>
    <col min="9986" max="9986" width="8.7109375" style="279" customWidth="1"/>
    <col min="9987" max="9987" width="8" style="279" customWidth="1"/>
    <col min="9988" max="9988" width="10.28515625" style="279" customWidth="1"/>
    <col min="9989" max="9989" width="7.140625" style="279" customWidth="1"/>
    <col min="9990" max="9990" width="6.85546875" style="279" customWidth="1"/>
    <col min="9991" max="9991" width="11.7109375" style="279" customWidth="1"/>
    <col min="9992" max="9992" width="11.5703125" style="279" customWidth="1"/>
    <col min="9993" max="9993" width="9.140625" style="279"/>
    <col min="9994" max="9994" width="10.5703125" style="279" bestFit="1" customWidth="1"/>
    <col min="9995" max="9995" width="9.140625" style="279"/>
    <col min="9996" max="9996" width="12.140625" style="279" customWidth="1"/>
    <col min="9997" max="10238" width="9.140625" style="279"/>
    <col min="10239" max="10239" width="4" style="279" customWidth="1"/>
    <col min="10240" max="10240" width="10.5703125" style="279" customWidth="1"/>
    <col min="10241" max="10241" width="11.140625" style="279" customWidth="1"/>
    <col min="10242" max="10242" width="8.7109375" style="279" customWidth="1"/>
    <col min="10243" max="10243" width="8" style="279" customWidth="1"/>
    <col min="10244" max="10244" width="10.28515625" style="279" customWidth="1"/>
    <col min="10245" max="10245" width="7.140625" style="279" customWidth="1"/>
    <col min="10246" max="10246" width="6.85546875" style="279" customWidth="1"/>
    <col min="10247" max="10247" width="11.7109375" style="279" customWidth="1"/>
    <col min="10248" max="10248" width="11.5703125" style="279" customWidth="1"/>
    <col min="10249" max="10249" width="9.140625" style="279"/>
    <col min="10250" max="10250" width="10.5703125" style="279" bestFit="1" customWidth="1"/>
    <col min="10251" max="10251" width="9.140625" style="279"/>
    <col min="10252" max="10252" width="12.140625" style="279" customWidth="1"/>
    <col min="10253" max="10494" width="9.140625" style="279"/>
    <col min="10495" max="10495" width="4" style="279" customWidth="1"/>
    <col min="10496" max="10496" width="10.5703125" style="279" customWidth="1"/>
    <col min="10497" max="10497" width="11.140625" style="279" customWidth="1"/>
    <col min="10498" max="10498" width="8.7109375" style="279" customWidth="1"/>
    <col min="10499" max="10499" width="8" style="279" customWidth="1"/>
    <col min="10500" max="10500" width="10.28515625" style="279" customWidth="1"/>
    <col min="10501" max="10501" width="7.140625" style="279" customWidth="1"/>
    <col min="10502" max="10502" width="6.85546875" style="279" customWidth="1"/>
    <col min="10503" max="10503" width="11.7109375" style="279" customWidth="1"/>
    <col min="10504" max="10504" width="11.5703125" style="279" customWidth="1"/>
    <col min="10505" max="10505" width="9.140625" style="279"/>
    <col min="10506" max="10506" width="10.5703125" style="279" bestFit="1" customWidth="1"/>
    <col min="10507" max="10507" width="9.140625" style="279"/>
    <col min="10508" max="10508" width="12.140625" style="279" customWidth="1"/>
    <col min="10509" max="10750" width="9.140625" style="279"/>
    <col min="10751" max="10751" width="4" style="279" customWidth="1"/>
    <col min="10752" max="10752" width="10.5703125" style="279" customWidth="1"/>
    <col min="10753" max="10753" width="11.140625" style="279" customWidth="1"/>
    <col min="10754" max="10754" width="8.7109375" style="279" customWidth="1"/>
    <col min="10755" max="10755" width="8" style="279" customWidth="1"/>
    <col min="10756" max="10756" width="10.28515625" style="279" customWidth="1"/>
    <col min="10757" max="10757" width="7.140625" style="279" customWidth="1"/>
    <col min="10758" max="10758" width="6.85546875" style="279" customWidth="1"/>
    <col min="10759" max="10759" width="11.7109375" style="279" customWidth="1"/>
    <col min="10760" max="10760" width="11.5703125" style="279" customWidth="1"/>
    <col min="10761" max="10761" width="9.140625" style="279"/>
    <col min="10762" max="10762" width="10.5703125" style="279" bestFit="1" customWidth="1"/>
    <col min="10763" max="10763" width="9.140625" style="279"/>
    <col min="10764" max="10764" width="12.140625" style="279" customWidth="1"/>
    <col min="10765" max="11006" width="9.140625" style="279"/>
    <col min="11007" max="11007" width="4" style="279" customWidth="1"/>
    <col min="11008" max="11008" width="10.5703125" style="279" customWidth="1"/>
    <col min="11009" max="11009" width="11.140625" style="279" customWidth="1"/>
    <col min="11010" max="11010" width="8.7109375" style="279" customWidth="1"/>
    <col min="11011" max="11011" width="8" style="279" customWidth="1"/>
    <col min="11012" max="11012" width="10.28515625" style="279" customWidth="1"/>
    <col min="11013" max="11013" width="7.140625" style="279" customWidth="1"/>
    <col min="11014" max="11014" width="6.85546875" style="279" customWidth="1"/>
    <col min="11015" max="11015" width="11.7109375" style="279" customWidth="1"/>
    <col min="11016" max="11016" width="11.5703125" style="279" customWidth="1"/>
    <col min="11017" max="11017" width="9.140625" style="279"/>
    <col min="11018" max="11018" width="10.5703125" style="279" bestFit="1" customWidth="1"/>
    <col min="11019" max="11019" width="9.140625" style="279"/>
    <col min="11020" max="11020" width="12.140625" style="279" customWidth="1"/>
    <col min="11021" max="11262" width="9.140625" style="279"/>
    <col min="11263" max="11263" width="4" style="279" customWidth="1"/>
    <col min="11264" max="11264" width="10.5703125" style="279" customWidth="1"/>
    <col min="11265" max="11265" width="11.140625" style="279" customWidth="1"/>
    <col min="11266" max="11266" width="8.7109375" style="279" customWidth="1"/>
    <col min="11267" max="11267" width="8" style="279" customWidth="1"/>
    <col min="11268" max="11268" width="10.28515625" style="279" customWidth="1"/>
    <col min="11269" max="11269" width="7.140625" style="279" customWidth="1"/>
    <col min="11270" max="11270" width="6.85546875" style="279" customWidth="1"/>
    <col min="11271" max="11271" width="11.7109375" style="279" customWidth="1"/>
    <col min="11272" max="11272" width="11.5703125" style="279" customWidth="1"/>
    <col min="11273" max="11273" width="9.140625" style="279"/>
    <col min="11274" max="11274" width="10.5703125" style="279" bestFit="1" customWidth="1"/>
    <col min="11275" max="11275" width="9.140625" style="279"/>
    <col min="11276" max="11276" width="12.140625" style="279" customWidth="1"/>
    <col min="11277" max="11518" width="9.140625" style="279"/>
    <col min="11519" max="11519" width="4" style="279" customWidth="1"/>
    <col min="11520" max="11520" width="10.5703125" style="279" customWidth="1"/>
    <col min="11521" max="11521" width="11.140625" style="279" customWidth="1"/>
    <col min="11522" max="11522" width="8.7109375" style="279" customWidth="1"/>
    <col min="11523" max="11523" width="8" style="279" customWidth="1"/>
    <col min="11524" max="11524" width="10.28515625" style="279" customWidth="1"/>
    <col min="11525" max="11525" width="7.140625" style="279" customWidth="1"/>
    <col min="11526" max="11526" width="6.85546875" style="279" customWidth="1"/>
    <col min="11527" max="11527" width="11.7109375" style="279" customWidth="1"/>
    <col min="11528" max="11528" width="11.5703125" style="279" customWidth="1"/>
    <col min="11529" max="11529" width="9.140625" style="279"/>
    <col min="11530" max="11530" width="10.5703125" style="279" bestFit="1" customWidth="1"/>
    <col min="11531" max="11531" width="9.140625" style="279"/>
    <col min="11532" max="11532" width="12.140625" style="279" customWidth="1"/>
    <col min="11533" max="11774" width="9.140625" style="279"/>
    <col min="11775" max="11775" width="4" style="279" customWidth="1"/>
    <col min="11776" max="11776" width="10.5703125" style="279" customWidth="1"/>
    <col min="11777" max="11777" width="11.140625" style="279" customWidth="1"/>
    <col min="11778" max="11778" width="8.7109375" style="279" customWidth="1"/>
    <col min="11779" max="11779" width="8" style="279" customWidth="1"/>
    <col min="11780" max="11780" width="10.28515625" style="279" customWidth="1"/>
    <col min="11781" max="11781" width="7.140625" style="279" customWidth="1"/>
    <col min="11782" max="11782" width="6.85546875" style="279" customWidth="1"/>
    <col min="11783" max="11783" width="11.7109375" style="279" customWidth="1"/>
    <col min="11784" max="11784" width="11.5703125" style="279" customWidth="1"/>
    <col min="11785" max="11785" width="9.140625" style="279"/>
    <col min="11786" max="11786" width="10.5703125" style="279" bestFit="1" customWidth="1"/>
    <col min="11787" max="11787" width="9.140625" style="279"/>
    <col min="11788" max="11788" width="12.140625" style="279" customWidth="1"/>
    <col min="11789" max="12030" width="9.140625" style="279"/>
    <col min="12031" max="12031" width="4" style="279" customWidth="1"/>
    <col min="12032" max="12032" width="10.5703125" style="279" customWidth="1"/>
    <col min="12033" max="12033" width="11.140625" style="279" customWidth="1"/>
    <col min="12034" max="12034" width="8.7109375" style="279" customWidth="1"/>
    <col min="12035" max="12035" width="8" style="279" customWidth="1"/>
    <col min="12036" max="12036" width="10.28515625" style="279" customWidth="1"/>
    <col min="12037" max="12037" width="7.140625" style="279" customWidth="1"/>
    <col min="12038" max="12038" width="6.85546875" style="279" customWidth="1"/>
    <col min="12039" max="12039" width="11.7109375" style="279" customWidth="1"/>
    <col min="12040" max="12040" width="11.5703125" style="279" customWidth="1"/>
    <col min="12041" max="12041" width="9.140625" style="279"/>
    <col min="12042" max="12042" width="10.5703125" style="279" bestFit="1" customWidth="1"/>
    <col min="12043" max="12043" width="9.140625" style="279"/>
    <col min="12044" max="12044" width="12.140625" style="279" customWidth="1"/>
    <col min="12045" max="12286" width="9.140625" style="279"/>
    <col min="12287" max="12287" width="4" style="279" customWidth="1"/>
    <col min="12288" max="12288" width="10.5703125" style="279" customWidth="1"/>
    <col min="12289" max="12289" width="11.140625" style="279" customWidth="1"/>
    <col min="12290" max="12290" width="8.7109375" style="279" customWidth="1"/>
    <col min="12291" max="12291" width="8" style="279" customWidth="1"/>
    <col min="12292" max="12292" width="10.28515625" style="279" customWidth="1"/>
    <col min="12293" max="12293" width="7.140625" style="279" customWidth="1"/>
    <col min="12294" max="12294" width="6.85546875" style="279" customWidth="1"/>
    <col min="12295" max="12295" width="11.7109375" style="279" customWidth="1"/>
    <col min="12296" max="12296" width="11.5703125" style="279" customWidth="1"/>
    <col min="12297" max="12297" width="9.140625" style="279"/>
    <col min="12298" max="12298" width="10.5703125" style="279" bestFit="1" customWidth="1"/>
    <col min="12299" max="12299" width="9.140625" style="279"/>
    <col min="12300" max="12300" width="12.140625" style="279" customWidth="1"/>
    <col min="12301" max="12542" width="9.140625" style="279"/>
    <col min="12543" max="12543" width="4" style="279" customWidth="1"/>
    <col min="12544" max="12544" width="10.5703125" style="279" customWidth="1"/>
    <col min="12545" max="12545" width="11.140625" style="279" customWidth="1"/>
    <col min="12546" max="12546" width="8.7109375" style="279" customWidth="1"/>
    <col min="12547" max="12547" width="8" style="279" customWidth="1"/>
    <col min="12548" max="12548" width="10.28515625" style="279" customWidth="1"/>
    <col min="12549" max="12549" width="7.140625" style="279" customWidth="1"/>
    <col min="12550" max="12550" width="6.85546875" style="279" customWidth="1"/>
    <col min="12551" max="12551" width="11.7109375" style="279" customWidth="1"/>
    <col min="12552" max="12552" width="11.5703125" style="279" customWidth="1"/>
    <col min="12553" max="12553" width="9.140625" style="279"/>
    <col min="12554" max="12554" width="10.5703125" style="279" bestFit="1" customWidth="1"/>
    <col min="12555" max="12555" width="9.140625" style="279"/>
    <col min="12556" max="12556" width="12.140625" style="279" customWidth="1"/>
    <col min="12557" max="12798" width="9.140625" style="279"/>
    <col min="12799" max="12799" width="4" style="279" customWidth="1"/>
    <col min="12800" max="12800" width="10.5703125" style="279" customWidth="1"/>
    <col min="12801" max="12801" width="11.140625" style="279" customWidth="1"/>
    <col min="12802" max="12802" width="8.7109375" style="279" customWidth="1"/>
    <col min="12803" max="12803" width="8" style="279" customWidth="1"/>
    <col min="12804" max="12804" width="10.28515625" style="279" customWidth="1"/>
    <col min="12805" max="12805" width="7.140625" style="279" customWidth="1"/>
    <col min="12806" max="12806" width="6.85546875" style="279" customWidth="1"/>
    <col min="12807" max="12807" width="11.7109375" style="279" customWidth="1"/>
    <col min="12808" max="12808" width="11.5703125" style="279" customWidth="1"/>
    <col min="12809" max="12809" width="9.140625" style="279"/>
    <col min="12810" max="12810" width="10.5703125" style="279" bestFit="1" customWidth="1"/>
    <col min="12811" max="12811" width="9.140625" style="279"/>
    <col min="12812" max="12812" width="12.140625" style="279" customWidth="1"/>
    <col min="12813" max="13054" width="9.140625" style="279"/>
    <col min="13055" max="13055" width="4" style="279" customWidth="1"/>
    <col min="13056" max="13056" width="10.5703125" style="279" customWidth="1"/>
    <col min="13057" max="13057" width="11.140625" style="279" customWidth="1"/>
    <col min="13058" max="13058" width="8.7109375" style="279" customWidth="1"/>
    <col min="13059" max="13059" width="8" style="279" customWidth="1"/>
    <col min="13060" max="13060" width="10.28515625" style="279" customWidth="1"/>
    <col min="13061" max="13061" width="7.140625" style="279" customWidth="1"/>
    <col min="13062" max="13062" width="6.85546875" style="279" customWidth="1"/>
    <col min="13063" max="13063" width="11.7109375" style="279" customWidth="1"/>
    <col min="13064" max="13064" width="11.5703125" style="279" customWidth="1"/>
    <col min="13065" max="13065" width="9.140625" style="279"/>
    <col min="13066" max="13066" width="10.5703125" style="279" bestFit="1" customWidth="1"/>
    <col min="13067" max="13067" width="9.140625" style="279"/>
    <col min="13068" max="13068" width="12.140625" style="279" customWidth="1"/>
    <col min="13069" max="13310" width="9.140625" style="279"/>
    <col min="13311" max="13311" width="4" style="279" customWidth="1"/>
    <col min="13312" max="13312" width="10.5703125" style="279" customWidth="1"/>
    <col min="13313" max="13313" width="11.140625" style="279" customWidth="1"/>
    <col min="13314" max="13314" width="8.7109375" style="279" customWidth="1"/>
    <col min="13315" max="13315" width="8" style="279" customWidth="1"/>
    <col min="13316" max="13316" width="10.28515625" style="279" customWidth="1"/>
    <col min="13317" max="13317" width="7.140625" style="279" customWidth="1"/>
    <col min="13318" max="13318" width="6.85546875" style="279" customWidth="1"/>
    <col min="13319" max="13319" width="11.7109375" style="279" customWidth="1"/>
    <col min="13320" max="13320" width="11.5703125" style="279" customWidth="1"/>
    <col min="13321" max="13321" width="9.140625" style="279"/>
    <col min="13322" max="13322" width="10.5703125" style="279" bestFit="1" customWidth="1"/>
    <col min="13323" max="13323" width="9.140625" style="279"/>
    <col min="13324" max="13324" width="12.140625" style="279" customWidth="1"/>
    <col min="13325" max="13566" width="9.140625" style="279"/>
    <col min="13567" max="13567" width="4" style="279" customWidth="1"/>
    <col min="13568" max="13568" width="10.5703125" style="279" customWidth="1"/>
    <col min="13569" max="13569" width="11.140625" style="279" customWidth="1"/>
    <col min="13570" max="13570" width="8.7109375" style="279" customWidth="1"/>
    <col min="13571" max="13571" width="8" style="279" customWidth="1"/>
    <col min="13572" max="13572" width="10.28515625" style="279" customWidth="1"/>
    <col min="13573" max="13573" width="7.140625" style="279" customWidth="1"/>
    <col min="13574" max="13574" width="6.85546875" style="279" customWidth="1"/>
    <col min="13575" max="13575" width="11.7109375" style="279" customWidth="1"/>
    <col min="13576" max="13576" width="11.5703125" style="279" customWidth="1"/>
    <col min="13577" max="13577" width="9.140625" style="279"/>
    <col min="13578" max="13578" width="10.5703125" style="279" bestFit="1" customWidth="1"/>
    <col min="13579" max="13579" width="9.140625" style="279"/>
    <col min="13580" max="13580" width="12.140625" style="279" customWidth="1"/>
    <col min="13581" max="13822" width="9.140625" style="279"/>
    <col min="13823" max="13823" width="4" style="279" customWidth="1"/>
    <col min="13824" max="13824" width="10.5703125" style="279" customWidth="1"/>
    <col min="13825" max="13825" width="11.140625" style="279" customWidth="1"/>
    <col min="13826" max="13826" width="8.7109375" style="279" customWidth="1"/>
    <col min="13827" max="13827" width="8" style="279" customWidth="1"/>
    <col min="13828" max="13828" width="10.28515625" style="279" customWidth="1"/>
    <col min="13829" max="13829" width="7.140625" style="279" customWidth="1"/>
    <col min="13830" max="13830" width="6.85546875" style="279" customWidth="1"/>
    <col min="13831" max="13831" width="11.7109375" style="279" customWidth="1"/>
    <col min="13832" max="13832" width="11.5703125" style="279" customWidth="1"/>
    <col min="13833" max="13833" width="9.140625" style="279"/>
    <col min="13834" max="13834" width="10.5703125" style="279" bestFit="1" customWidth="1"/>
    <col min="13835" max="13835" width="9.140625" style="279"/>
    <col min="13836" max="13836" width="12.140625" style="279" customWidth="1"/>
    <col min="13837" max="14078" width="9.140625" style="279"/>
    <col min="14079" max="14079" width="4" style="279" customWidth="1"/>
    <col min="14080" max="14080" width="10.5703125" style="279" customWidth="1"/>
    <col min="14081" max="14081" width="11.140625" style="279" customWidth="1"/>
    <col min="14082" max="14082" width="8.7109375" style="279" customWidth="1"/>
    <col min="14083" max="14083" width="8" style="279" customWidth="1"/>
    <col min="14084" max="14084" width="10.28515625" style="279" customWidth="1"/>
    <col min="14085" max="14085" width="7.140625" style="279" customWidth="1"/>
    <col min="14086" max="14086" width="6.85546875" style="279" customWidth="1"/>
    <col min="14087" max="14087" width="11.7109375" style="279" customWidth="1"/>
    <col min="14088" max="14088" width="11.5703125" style="279" customWidth="1"/>
    <col min="14089" max="14089" width="9.140625" style="279"/>
    <col min="14090" max="14090" width="10.5703125" style="279" bestFit="1" customWidth="1"/>
    <col min="14091" max="14091" width="9.140625" style="279"/>
    <col min="14092" max="14092" width="12.140625" style="279" customWidth="1"/>
    <col min="14093" max="14334" width="9.140625" style="279"/>
    <col min="14335" max="14335" width="4" style="279" customWidth="1"/>
    <col min="14336" max="14336" width="10.5703125" style="279" customWidth="1"/>
    <col min="14337" max="14337" width="11.140625" style="279" customWidth="1"/>
    <col min="14338" max="14338" width="8.7109375" style="279" customWidth="1"/>
    <col min="14339" max="14339" width="8" style="279" customWidth="1"/>
    <col min="14340" max="14340" width="10.28515625" style="279" customWidth="1"/>
    <col min="14341" max="14341" width="7.140625" style="279" customWidth="1"/>
    <col min="14342" max="14342" width="6.85546875" style="279" customWidth="1"/>
    <col min="14343" max="14343" width="11.7109375" style="279" customWidth="1"/>
    <col min="14344" max="14344" width="11.5703125" style="279" customWidth="1"/>
    <col min="14345" max="14345" width="9.140625" style="279"/>
    <col min="14346" max="14346" width="10.5703125" style="279" bestFit="1" customWidth="1"/>
    <col min="14347" max="14347" width="9.140625" style="279"/>
    <col min="14348" max="14348" width="12.140625" style="279" customWidth="1"/>
    <col min="14349" max="14590" width="9.140625" style="279"/>
    <col min="14591" max="14591" width="4" style="279" customWidth="1"/>
    <col min="14592" max="14592" width="10.5703125" style="279" customWidth="1"/>
    <col min="14593" max="14593" width="11.140625" style="279" customWidth="1"/>
    <col min="14594" max="14594" width="8.7109375" style="279" customWidth="1"/>
    <col min="14595" max="14595" width="8" style="279" customWidth="1"/>
    <col min="14596" max="14596" width="10.28515625" style="279" customWidth="1"/>
    <col min="14597" max="14597" width="7.140625" style="279" customWidth="1"/>
    <col min="14598" max="14598" width="6.85546875" style="279" customWidth="1"/>
    <col min="14599" max="14599" width="11.7109375" style="279" customWidth="1"/>
    <col min="14600" max="14600" width="11.5703125" style="279" customWidth="1"/>
    <col min="14601" max="14601" width="9.140625" style="279"/>
    <col min="14602" max="14602" width="10.5703125" style="279" bestFit="1" customWidth="1"/>
    <col min="14603" max="14603" width="9.140625" style="279"/>
    <col min="14604" max="14604" width="12.140625" style="279" customWidth="1"/>
    <col min="14605" max="14846" width="9.140625" style="279"/>
    <col min="14847" max="14847" width="4" style="279" customWidth="1"/>
    <col min="14848" max="14848" width="10.5703125" style="279" customWidth="1"/>
    <col min="14849" max="14849" width="11.140625" style="279" customWidth="1"/>
    <col min="14850" max="14850" width="8.7109375" style="279" customWidth="1"/>
    <col min="14851" max="14851" width="8" style="279" customWidth="1"/>
    <col min="14852" max="14852" width="10.28515625" style="279" customWidth="1"/>
    <col min="14853" max="14853" width="7.140625" style="279" customWidth="1"/>
    <col min="14854" max="14854" width="6.85546875" style="279" customWidth="1"/>
    <col min="14855" max="14855" width="11.7109375" style="279" customWidth="1"/>
    <col min="14856" max="14856" width="11.5703125" style="279" customWidth="1"/>
    <col min="14857" max="14857" width="9.140625" style="279"/>
    <col min="14858" max="14858" width="10.5703125" style="279" bestFit="1" customWidth="1"/>
    <col min="14859" max="14859" width="9.140625" style="279"/>
    <col min="14860" max="14860" width="12.140625" style="279" customWidth="1"/>
    <col min="14861" max="15102" width="9.140625" style="279"/>
    <col min="15103" max="15103" width="4" style="279" customWidth="1"/>
    <col min="15104" max="15104" width="10.5703125" style="279" customWidth="1"/>
    <col min="15105" max="15105" width="11.140625" style="279" customWidth="1"/>
    <col min="15106" max="15106" width="8.7109375" style="279" customWidth="1"/>
    <col min="15107" max="15107" width="8" style="279" customWidth="1"/>
    <col min="15108" max="15108" width="10.28515625" style="279" customWidth="1"/>
    <col min="15109" max="15109" width="7.140625" style="279" customWidth="1"/>
    <col min="15110" max="15110" width="6.85546875" style="279" customWidth="1"/>
    <col min="15111" max="15111" width="11.7109375" style="279" customWidth="1"/>
    <col min="15112" max="15112" width="11.5703125" style="279" customWidth="1"/>
    <col min="15113" max="15113" width="9.140625" style="279"/>
    <col min="15114" max="15114" width="10.5703125" style="279" bestFit="1" customWidth="1"/>
    <col min="15115" max="15115" width="9.140625" style="279"/>
    <col min="15116" max="15116" width="12.140625" style="279" customWidth="1"/>
    <col min="15117" max="15358" width="9.140625" style="279"/>
    <col min="15359" max="15359" width="4" style="279" customWidth="1"/>
    <col min="15360" max="15360" width="10.5703125" style="279" customWidth="1"/>
    <col min="15361" max="15361" width="11.140625" style="279" customWidth="1"/>
    <col min="15362" max="15362" width="8.7109375" style="279" customWidth="1"/>
    <col min="15363" max="15363" width="8" style="279" customWidth="1"/>
    <col min="15364" max="15364" width="10.28515625" style="279" customWidth="1"/>
    <col min="15365" max="15365" width="7.140625" style="279" customWidth="1"/>
    <col min="15366" max="15366" width="6.85546875" style="279" customWidth="1"/>
    <col min="15367" max="15367" width="11.7109375" style="279" customWidth="1"/>
    <col min="15368" max="15368" width="11.5703125" style="279" customWidth="1"/>
    <col min="15369" max="15369" width="9.140625" style="279"/>
    <col min="15370" max="15370" width="10.5703125" style="279" bestFit="1" customWidth="1"/>
    <col min="15371" max="15371" width="9.140625" style="279"/>
    <col min="15372" max="15372" width="12.140625" style="279" customWidth="1"/>
    <col min="15373" max="15614" width="9.140625" style="279"/>
    <col min="15615" max="15615" width="4" style="279" customWidth="1"/>
    <col min="15616" max="15616" width="10.5703125" style="279" customWidth="1"/>
    <col min="15617" max="15617" width="11.140625" style="279" customWidth="1"/>
    <col min="15618" max="15618" width="8.7109375" style="279" customWidth="1"/>
    <col min="15619" max="15619" width="8" style="279" customWidth="1"/>
    <col min="15620" max="15620" width="10.28515625" style="279" customWidth="1"/>
    <col min="15621" max="15621" width="7.140625" style="279" customWidth="1"/>
    <col min="15622" max="15622" width="6.85546875" style="279" customWidth="1"/>
    <col min="15623" max="15623" width="11.7109375" style="279" customWidth="1"/>
    <col min="15624" max="15624" width="11.5703125" style="279" customWidth="1"/>
    <col min="15625" max="15625" width="9.140625" style="279"/>
    <col min="15626" max="15626" width="10.5703125" style="279" bestFit="1" customWidth="1"/>
    <col min="15627" max="15627" width="9.140625" style="279"/>
    <col min="15628" max="15628" width="12.140625" style="279" customWidth="1"/>
    <col min="15629" max="15870" width="9.140625" style="279"/>
    <col min="15871" max="15871" width="4" style="279" customWidth="1"/>
    <col min="15872" max="15872" width="10.5703125" style="279" customWidth="1"/>
    <col min="15873" max="15873" width="11.140625" style="279" customWidth="1"/>
    <col min="15874" max="15874" width="8.7109375" style="279" customWidth="1"/>
    <col min="15875" max="15875" width="8" style="279" customWidth="1"/>
    <col min="15876" max="15876" width="10.28515625" style="279" customWidth="1"/>
    <col min="15877" max="15877" width="7.140625" style="279" customWidth="1"/>
    <col min="15878" max="15878" width="6.85546875" style="279" customWidth="1"/>
    <col min="15879" max="15879" width="11.7109375" style="279" customWidth="1"/>
    <col min="15880" max="15880" width="11.5703125" style="279" customWidth="1"/>
    <col min="15881" max="15881" width="9.140625" style="279"/>
    <col min="15882" max="15882" width="10.5703125" style="279" bestFit="1" customWidth="1"/>
    <col min="15883" max="15883" width="9.140625" style="279"/>
    <col min="15884" max="15884" width="12.140625" style="279" customWidth="1"/>
    <col min="15885" max="16126" width="9.140625" style="279"/>
    <col min="16127" max="16127" width="4" style="279" customWidth="1"/>
    <col min="16128" max="16128" width="10.5703125" style="279" customWidth="1"/>
    <col min="16129" max="16129" width="11.140625" style="279" customWidth="1"/>
    <col min="16130" max="16130" width="8.7109375" style="279" customWidth="1"/>
    <col min="16131" max="16131" width="8" style="279" customWidth="1"/>
    <col min="16132" max="16132" width="10.28515625" style="279" customWidth="1"/>
    <col min="16133" max="16133" width="7.140625" style="279" customWidth="1"/>
    <col min="16134" max="16134" width="6.85546875" style="279" customWidth="1"/>
    <col min="16135" max="16135" width="11.7109375" style="279" customWidth="1"/>
    <col min="16136" max="16136" width="11.5703125" style="279" customWidth="1"/>
    <col min="16137" max="16137" width="9.140625" style="279"/>
    <col min="16138" max="16138" width="10.5703125" style="279" bestFit="1" customWidth="1"/>
    <col min="16139" max="16139" width="9.140625" style="279"/>
    <col min="16140" max="16140" width="12.140625" style="279" customWidth="1"/>
    <col min="16141" max="16384" width="9.140625" style="279"/>
  </cols>
  <sheetData>
    <row r="1" spans="1:13" ht="30" customHeight="1" x14ac:dyDescent="0.25">
      <c r="A1" s="1142" t="s">
        <v>167</v>
      </c>
      <c r="B1" s="1142"/>
      <c r="C1" s="1142"/>
      <c r="D1" s="1142"/>
      <c r="E1" s="1142"/>
      <c r="F1" s="1142"/>
      <c r="G1" s="1142"/>
      <c r="H1" s="1142"/>
    </row>
    <row r="3" spans="1:13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201"/>
    </row>
    <row r="4" spans="1:13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202"/>
    </row>
    <row r="5" spans="1:13" ht="15" customHeight="1" x14ac:dyDescent="0.25">
      <c r="A5" s="200"/>
      <c r="B5" s="200"/>
      <c r="C5" s="200"/>
      <c r="D5" s="200"/>
      <c r="E5" s="200"/>
      <c r="F5" s="200"/>
      <c r="G5" s="200"/>
      <c r="H5" s="202"/>
    </row>
    <row r="6" spans="1:13" x14ac:dyDescent="0.25">
      <c r="A6" s="1155" t="s">
        <v>509</v>
      </c>
      <c r="B6" s="1155"/>
      <c r="C6" s="1155"/>
      <c r="D6" s="1155"/>
      <c r="E6" s="1155"/>
      <c r="F6" s="1155"/>
      <c r="G6" s="1155"/>
      <c r="H6" s="1155"/>
    </row>
    <row r="7" spans="1:13" ht="24" customHeight="1" x14ac:dyDescent="0.25">
      <c r="A7" s="733" t="s">
        <v>258</v>
      </c>
      <c r="B7" s="733" t="s">
        <v>492</v>
      </c>
      <c r="C7" s="731" t="s">
        <v>343</v>
      </c>
      <c r="D7" s="733" t="s">
        <v>798</v>
      </c>
      <c r="E7" s="733" t="s">
        <v>411</v>
      </c>
      <c r="F7" s="733" t="s">
        <v>839</v>
      </c>
      <c r="G7" s="733" t="s">
        <v>467</v>
      </c>
      <c r="H7" s="195" t="s">
        <v>402</v>
      </c>
    </row>
    <row r="8" spans="1:13" x14ac:dyDescent="0.25">
      <c r="A8" s="728">
        <v>1</v>
      </c>
      <c r="B8" s="728">
        <v>2</v>
      </c>
      <c r="C8" s="728">
        <v>3</v>
      </c>
      <c r="D8" s="728">
        <v>4</v>
      </c>
      <c r="E8" s="728">
        <v>5</v>
      </c>
      <c r="F8" s="728">
        <v>6</v>
      </c>
      <c r="G8" s="728">
        <v>7</v>
      </c>
      <c r="H8" s="196">
        <v>8</v>
      </c>
    </row>
    <row r="9" spans="1:13" ht="60" x14ac:dyDescent="0.25">
      <c r="A9" s="728">
        <v>1</v>
      </c>
      <c r="B9" s="734" t="s">
        <v>86</v>
      </c>
      <c r="C9" s="733">
        <v>226</v>
      </c>
      <c r="D9" s="233" t="s">
        <v>362</v>
      </c>
      <c r="E9" s="762">
        <v>10</v>
      </c>
      <c r="F9" s="759">
        <v>1080</v>
      </c>
      <c r="G9" s="265">
        <f>F9*E9</f>
        <v>10800</v>
      </c>
      <c r="H9" s="283">
        <f>ROUND(G9/1000,1)</f>
        <v>10.8</v>
      </c>
    </row>
    <row r="10" spans="1:13" ht="48" x14ac:dyDescent="0.25">
      <c r="A10" s="728">
        <v>2</v>
      </c>
      <c r="B10" s="734" t="s">
        <v>610</v>
      </c>
      <c r="C10" s="733">
        <v>226</v>
      </c>
      <c r="D10" s="233" t="s">
        <v>362</v>
      </c>
      <c r="E10" s="762">
        <v>1</v>
      </c>
      <c r="F10" s="759">
        <v>120100</v>
      </c>
      <c r="G10" s="265">
        <f>F10*E10</f>
        <v>120100</v>
      </c>
      <c r="H10" s="283">
        <f t="shared" ref="H10:H11" si="0">ROUND(G10/1000,1)</f>
        <v>120.1</v>
      </c>
    </row>
    <row r="11" spans="1:13" ht="84" x14ac:dyDescent="0.25">
      <c r="A11" s="728">
        <v>3</v>
      </c>
      <c r="B11" s="734" t="s">
        <v>607</v>
      </c>
      <c r="C11" s="733">
        <v>226</v>
      </c>
      <c r="D11" s="233" t="s">
        <v>362</v>
      </c>
      <c r="E11" s="762">
        <v>1</v>
      </c>
      <c r="F11" s="759">
        <v>102300</v>
      </c>
      <c r="G11" s="265">
        <f>F11*E11</f>
        <v>102300</v>
      </c>
      <c r="H11" s="283">
        <f t="shared" si="0"/>
        <v>102.3</v>
      </c>
    </row>
    <row r="12" spans="1:13" x14ac:dyDescent="0.25">
      <c r="A12" s="1223" t="s">
        <v>409</v>
      </c>
      <c r="B12" s="1223"/>
      <c r="C12" s="1223"/>
      <c r="D12" s="1223"/>
      <c r="E12" s="1223"/>
      <c r="F12" s="1223"/>
      <c r="G12" s="825">
        <f>SUM(G9:G11)</f>
        <v>233200</v>
      </c>
      <c r="H12" s="293">
        <f>SUM(H9:H11)</f>
        <v>233.2</v>
      </c>
    </row>
    <row r="15" spans="1:13" s="145" customFormat="1" x14ac:dyDescent="0.25">
      <c r="A15" s="1150" t="s">
        <v>397</v>
      </c>
      <c r="B15" s="1150"/>
      <c r="C15" s="279"/>
      <c r="D15" s="1151"/>
      <c r="E15" s="1151"/>
      <c r="G15" s="1151" t="str">
        <f>рВДЛ!G32</f>
        <v>М.В. Златова</v>
      </c>
      <c r="H15" s="1151"/>
      <c r="J15" s="146"/>
      <c r="K15" s="146"/>
      <c r="L15" s="146"/>
      <c r="M15" s="146"/>
    </row>
    <row r="16" spans="1:13" s="145" customFormat="1" x14ac:dyDescent="0.25">
      <c r="A16" s="1148" t="s">
        <v>329</v>
      </c>
      <c r="B16" s="1148"/>
      <c r="C16" s="279"/>
      <c r="D16" s="1148" t="s">
        <v>330</v>
      </c>
      <c r="E16" s="1148"/>
      <c r="G16" s="1149" t="s">
        <v>331</v>
      </c>
      <c r="H16" s="1149"/>
    </row>
    <row r="17" spans="1:8" s="145" customFormat="1" x14ac:dyDescent="0.25">
      <c r="A17" s="1150" t="str">
        <f>рВДЛ!A34</f>
        <v>Исполнитель: финансист</v>
      </c>
      <c r="B17" s="1150"/>
      <c r="C17" s="279"/>
      <c r="D17" s="1151"/>
      <c r="E17" s="1151"/>
      <c r="G17" s="1151" t="str">
        <f>рВДЛ!G34</f>
        <v>Е.Н. Рыбалка</v>
      </c>
      <c r="H17" s="1151"/>
    </row>
    <row r="18" spans="1:8" s="145" customFormat="1" x14ac:dyDescent="0.25">
      <c r="A18" s="1148" t="s">
        <v>329</v>
      </c>
      <c r="B18" s="1148"/>
      <c r="C18" s="279"/>
      <c r="D18" s="1148" t="s">
        <v>330</v>
      </c>
      <c r="E18" s="1148"/>
      <c r="G18" s="1149" t="s">
        <v>331</v>
      </c>
      <c r="H18" s="1149"/>
    </row>
    <row r="19" spans="1:8" x14ac:dyDescent="0.25">
      <c r="F19" s="168"/>
    </row>
    <row r="20" spans="1:8" x14ac:dyDescent="0.25">
      <c r="F20" s="169"/>
    </row>
    <row r="21" spans="1:8" x14ac:dyDescent="0.25">
      <c r="F21" s="168"/>
    </row>
    <row r="22" spans="1:8" x14ac:dyDescent="0.25">
      <c r="F22" s="169"/>
    </row>
  </sheetData>
  <mergeCells count="17">
    <mergeCell ref="A1:H1"/>
    <mergeCell ref="A6:H6"/>
    <mergeCell ref="A3:G3"/>
    <mergeCell ref="A4:G4"/>
    <mergeCell ref="D17:E17"/>
    <mergeCell ref="G17:H17"/>
    <mergeCell ref="A12:F12"/>
    <mergeCell ref="D15:E15"/>
    <mergeCell ref="G15:H15"/>
    <mergeCell ref="A15:B15"/>
    <mergeCell ref="D18:E18"/>
    <mergeCell ref="G18:H18"/>
    <mergeCell ref="A18:B18"/>
    <mergeCell ref="A16:B16"/>
    <mergeCell ref="A17:B17"/>
    <mergeCell ref="D16:E16"/>
    <mergeCell ref="G16:H1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topLeftCell="A16" workbookViewId="0">
      <selection activeCell="I34" sqref="I34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509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5">
      <c r="A1" s="828"/>
      <c r="D1" s="1139" t="s">
        <v>327</v>
      </c>
      <c r="E1" s="1139"/>
      <c r="F1" s="1139"/>
      <c r="G1" s="1139"/>
      <c r="H1" s="1139"/>
      <c r="I1" s="875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75"/>
    </row>
    <row r="3" spans="1:9" s="829" customFormat="1" ht="12" customHeight="1" x14ac:dyDescent="0.25">
      <c r="A3" s="832"/>
      <c r="B3" s="832"/>
      <c r="C3" s="832"/>
      <c r="D3" s="1138" t="s">
        <v>329</v>
      </c>
      <c r="E3" s="1138"/>
      <c r="F3" s="1138"/>
      <c r="G3" s="1138"/>
      <c r="H3" s="1138"/>
      <c r="I3" s="875"/>
    </row>
    <row r="4" spans="1:9" s="829" customFormat="1" ht="17.25" customHeight="1" x14ac:dyDescent="0.25">
      <c r="D4" s="1141"/>
      <c r="E4" s="1141"/>
      <c r="F4" s="1141" t="str">
        <f>сВДЛ!F4</f>
        <v>М.В. Златова</v>
      </c>
      <c r="G4" s="1141"/>
      <c r="H4" s="1141"/>
      <c r="I4" s="875"/>
    </row>
    <row r="5" spans="1:9" s="829" customFormat="1" ht="10.5" customHeight="1" x14ac:dyDescent="0.25">
      <c r="A5" s="791"/>
      <c r="D5" s="1138" t="s">
        <v>330</v>
      </c>
      <c r="E5" s="1138"/>
      <c r="F5" s="1138" t="s">
        <v>331</v>
      </c>
      <c r="G5" s="1138"/>
      <c r="H5" s="1138"/>
      <c r="I5" s="875"/>
    </row>
    <row r="6" spans="1:9" s="829" customFormat="1" ht="15" customHeight="1" x14ac:dyDescent="0.25">
      <c r="A6" s="1131" t="s">
        <v>332</v>
      </c>
      <c r="B6" s="1131"/>
      <c r="C6" s="1131"/>
      <c r="D6" s="1131"/>
      <c r="E6" s="1131"/>
      <c r="F6" s="1131"/>
      <c r="G6" s="1131"/>
      <c r="H6" s="1131"/>
      <c r="I6" s="876"/>
    </row>
    <row r="7" spans="1:9" s="829" customFormat="1" ht="15" customHeight="1" x14ac:dyDescent="0.25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76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77"/>
    </row>
    <row r="9" spans="1:9" s="829" customFormat="1" ht="13.5" customHeight="1" x14ac:dyDescent="0.25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78"/>
    </row>
    <row r="10" spans="1:9" s="829" customFormat="1" ht="13.5" customHeight="1" x14ac:dyDescent="0.25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78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79"/>
    </row>
    <row r="12" spans="1:9" s="179" customFormat="1" x14ac:dyDescent="0.25">
      <c r="A12" s="1201" t="s">
        <v>174</v>
      </c>
      <c r="B12" s="1201"/>
      <c r="C12" s="1201"/>
      <c r="D12" s="1201"/>
      <c r="E12" s="1201"/>
      <c r="F12" s="1201"/>
      <c r="G12" s="1201"/>
      <c r="H12" s="1201"/>
      <c r="I12" s="509"/>
    </row>
    <row r="13" spans="1:9" s="179" customFormat="1" ht="6" customHeight="1" x14ac:dyDescent="0.25">
      <c r="E13" s="842"/>
      <c r="F13" s="842"/>
      <c r="G13" s="842"/>
      <c r="H13" s="842"/>
      <c r="I13" s="509"/>
    </row>
    <row r="14" spans="1:9" s="179" customFormat="1" x14ac:dyDescent="0.25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509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68"/>
    </row>
    <row r="16" spans="1:9" x14ac:dyDescent="0.25">
      <c r="A16" s="564" t="s">
        <v>640</v>
      </c>
      <c r="B16" s="581" t="s">
        <v>128</v>
      </c>
      <c r="C16" s="581" t="s">
        <v>168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9856.3000000000011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 t="s">
        <v>128</v>
      </c>
      <c r="C24" s="846" t="s">
        <v>168</v>
      </c>
      <c r="D24" s="846" t="s">
        <v>485</v>
      </c>
      <c r="E24" s="846" t="s">
        <v>126</v>
      </c>
      <c r="F24" s="558">
        <v>220</v>
      </c>
      <c r="G24" s="558"/>
      <c r="H24" s="847">
        <f>H25+H26+H28+H32+H36</f>
        <v>9856.3000000000011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 t="s">
        <v>128</v>
      </c>
      <c r="C32" s="848" t="s">
        <v>168</v>
      </c>
      <c r="D32" s="848" t="s">
        <v>485</v>
      </c>
      <c r="E32" s="848" t="s">
        <v>416</v>
      </c>
      <c r="F32" s="559">
        <v>225</v>
      </c>
      <c r="G32" s="559"/>
      <c r="H32" s="850">
        <f>SUM(H33:H35)</f>
        <v>9856.3000000000011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 t="s">
        <v>128</v>
      </c>
      <c r="C34" s="852" t="s">
        <v>168</v>
      </c>
      <c r="D34" s="852" t="s">
        <v>485</v>
      </c>
      <c r="E34" s="852" t="s">
        <v>416</v>
      </c>
      <c r="F34" s="560">
        <v>225</v>
      </c>
      <c r="G34" s="560" t="s">
        <v>358</v>
      </c>
      <c r="H34" s="281">
        <f>рДороги!H11+рДороги!H23</f>
        <v>9856.3000000000011</v>
      </c>
      <c r="I34" s="509">
        <f>3658900+4391828.62</f>
        <v>8050728.6200000001</v>
      </c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80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3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128</v>
      </c>
      <c r="C65" s="848" t="s">
        <v>168</v>
      </c>
      <c r="D65" s="848" t="s">
        <v>180</v>
      </c>
      <c r="E65" s="848" t="s">
        <v>126</v>
      </c>
      <c r="F65" s="563"/>
      <c r="G65" s="563"/>
      <c r="H65" s="850">
        <f>рДороги!H11</f>
        <v>5263.6</v>
      </c>
    </row>
    <row r="66" spans="1:9" x14ac:dyDescent="0.25">
      <c r="A66" s="569" t="s">
        <v>487</v>
      </c>
      <c r="B66" s="848" t="s">
        <v>128</v>
      </c>
      <c r="C66" s="848" t="s">
        <v>168</v>
      </c>
      <c r="D66" s="848" t="s">
        <v>182</v>
      </c>
      <c r="E66" s="848" t="s">
        <v>126</v>
      </c>
      <c r="F66" s="563"/>
      <c r="G66" s="563"/>
      <c r="H66" s="850">
        <f>рДороги!H23</f>
        <v>4592.7000000000007</v>
      </c>
    </row>
    <row r="67" spans="1:9" x14ac:dyDescent="0.25">
      <c r="A67" s="571" t="s">
        <v>377</v>
      </c>
      <c r="B67" s="848" t="s">
        <v>128</v>
      </c>
      <c r="C67" s="848" t="s">
        <v>168</v>
      </c>
      <c r="D67" s="848" t="s">
        <v>485</v>
      </c>
      <c r="E67" s="848" t="s">
        <v>345</v>
      </c>
      <c r="F67" s="570"/>
      <c r="G67" s="570"/>
      <c r="H67" s="850">
        <f>H59+H16</f>
        <v>9856.3000000000011</v>
      </c>
      <c r="I67" s="509">
        <f>SUM(I16:I64)</f>
        <v>8050728.6200000001</v>
      </c>
    </row>
    <row r="68" spans="1:9" x14ac:dyDescent="0.25">
      <c r="A68" s="862"/>
      <c r="B68" s="863"/>
      <c r="C68" s="863"/>
      <c r="D68" s="863"/>
      <c r="E68" s="863"/>
      <c r="F68" s="863"/>
      <c r="G68" s="863"/>
      <c r="H68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tabSelected="1" topLeftCell="A13" workbookViewId="0">
      <selection activeCell="F19" sqref="F19"/>
    </sheetView>
  </sheetViews>
  <sheetFormatPr defaultRowHeight="15" x14ac:dyDescent="0.25"/>
  <cols>
    <col min="1" max="1" width="4" style="789" customWidth="1"/>
    <col min="2" max="2" width="28.5703125" style="789" customWidth="1"/>
    <col min="3" max="4" width="6.85546875" style="789" customWidth="1"/>
    <col min="5" max="5" width="13.42578125" style="789" customWidth="1"/>
    <col min="6" max="6" width="11.140625" style="789" customWidth="1"/>
    <col min="7" max="7" width="11.7109375" style="789" customWidth="1"/>
    <col min="8" max="8" width="11.5703125" style="789" customWidth="1"/>
    <col min="9" max="9" width="12.5703125" style="789" customWidth="1"/>
    <col min="10" max="11" width="15.85546875" style="789" customWidth="1"/>
    <col min="12" max="12" width="10" style="789" bestFit="1" customWidth="1"/>
    <col min="13" max="252" width="9.140625" style="789"/>
    <col min="253" max="253" width="4" style="789" customWidth="1"/>
    <col min="254" max="254" width="10.5703125" style="789" customWidth="1"/>
    <col min="255" max="255" width="11.140625" style="789" customWidth="1"/>
    <col min="256" max="256" width="8.7109375" style="789" customWidth="1"/>
    <col min="257" max="257" width="8" style="789" customWidth="1"/>
    <col min="258" max="258" width="10.28515625" style="789" customWidth="1"/>
    <col min="259" max="259" width="7.140625" style="789" customWidth="1"/>
    <col min="260" max="260" width="6.85546875" style="789" customWidth="1"/>
    <col min="261" max="261" width="11.7109375" style="789" customWidth="1"/>
    <col min="262" max="262" width="11.5703125" style="789" customWidth="1"/>
    <col min="263" max="263" width="9.140625" style="789"/>
    <col min="264" max="264" width="10.5703125" style="789" bestFit="1" customWidth="1"/>
    <col min="265" max="265" width="9.140625" style="789"/>
    <col min="266" max="266" width="12.140625" style="789" customWidth="1"/>
    <col min="267" max="508" width="9.140625" style="789"/>
    <col min="509" max="509" width="4" style="789" customWidth="1"/>
    <col min="510" max="510" width="10.5703125" style="789" customWidth="1"/>
    <col min="511" max="511" width="11.140625" style="789" customWidth="1"/>
    <col min="512" max="512" width="8.7109375" style="789" customWidth="1"/>
    <col min="513" max="513" width="8" style="789" customWidth="1"/>
    <col min="514" max="514" width="10.28515625" style="789" customWidth="1"/>
    <col min="515" max="515" width="7.140625" style="789" customWidth="1"/>
    <col min="516" max="516" width="6.85546875" style="789" customWidth="1"/>
    <col min="517" max="517" width="11.7109375" style="789" customWidth="1"/>
    <col min="518" max="518" width="11.5703125" style="789" customWidth="1"/>
    <col min="519" max="519" width="9.140625" style="789"/>
    <col min="520" max="520" width="10.5703125" style="789" bestFit="1" customWidth="1"/>
    <col min="521" max="521" width="9.140625" style="789"/>
    <col min="522" max="522" width="12.140625" style="789" customWidth="1"/>
    <col min="523" max="764" width="9.140625" style="789"/>
    <col min="765" max="765" width="4" style="789" customWidth="1"/>
    <col min="766" max="766" width="10.5703125" style="789" customWidth="1"/>
    <col min="767" max="767" width="11.140625" style="789" customWidth="1"/>
    <col min="768" max="768" width="8.7109375" style="789" customWidth="1"/>
    <col min="769" max="769" width="8" style="789" customWidth="1"/>
    <col min="770" max="770" width="10.28515625" style="789" customWidth="1"/>
    <col min="771" max="771" width="7.140625" style="789" customWidth="1"/>
    <col min="772" max="772" width="6.85546875" style="789" customWidth="1"/>
    <col min="773" max="773" width="11.7109375" style="789" customWidth="1"/>
    <col min="774" max="774" width="11.5703125" style="789" customWidth="1"/>
    <col min="775" max="775" width="9.140625" style="789"/>
    <col min="776" max="776" width="10.5703125" style="789" bestFit="1" customWidth="1"/>
    <col min="777" max="777" width="9.140625" style="789"/>
    <col min="778" max="778" width="12.140625" style="789" customWidth="1"/>
    <col min="779" max="1020" width="9.140625" style="789"/>
    <col min="1021" max="1021" width="4" style="789" customWidth="1"/>
    <col min="1022" max="1022" width="10.5703125" style="789" customWidth="1"/>
    <col min="1023" max="1023" width="11.140625" style="789" customWidth="1"/>
    <col min="1024" max="1024" width="8.7109375" style="789" customWidth="1"/>
    <col min="1025" max="1025" width="8" style="789" customWidth="1"/>
    <col min="1026" max="1026" width="10.28515625" style="789" customWidth="1"/>
    <col min="1027" max="1027" width="7.140625" style="789" customWidth="1"/>
    <col min="1028" max="1028" width="6.85546875" style="789" customWidth="1"/>
    <col min="1029" max="1029" width="11.7109375" style="789" customWidth="1"/>
    <col min="1030" max="1030" width="11.5703125" style="789" customWidth="1"/>
    <col min="1031" max="1031" width="9.140625" style="789"/>
    <col min="1032" max="1032" width="10.5703125" style="789" bestFit="1" customWidth="1"/>
    <col min="1033" max="1033" width="9.140625" style="789"/>
    <col min="1034" max="1034" width="12.140625" style="789" customWidth="1"/>
    <col min="1035" max="1276" width="9.140625" style="789"/>
    <col min="1277" max="1277" width="4" style="789" customWidth="1"/>
    <col min="1278" max="1278" width="10.5703125" style="789" customWidth="1"/>
    <col min="1279" max="1279" width="11.140625" style="789" customWidth="1"/>
    <col min="1280" max="1280" width="8.7109375" style="789" customWidth="1"/>
    <col min="1281" max="1281" width="8" style="789" customWidth="1"/>
    <col min="1282" max="1282" width="10.28515625" style="789" customWidth="1"/>
    <col min="1283" max="1283" width="7.140625" style="789" customWidth="1"/>
    <col min="1284" max="1284" width="6.85546875" style="789" customWidth="1"/>
    <col min="1285" max="1285" width="11.7109375" style="789" customWidth="1"/>
    <col min="1286" max="1286" width="11.5703125" style="789" customWidth="1"/>
    <col min="1287" max="1287" width="9.140625" style="789"/>
    <col min="1288" max="1288" width="10.5703125" style="789" bestFit="1" customWidth="1"/>
    <col min="1289" max="1289" width="9.140625" style="789"/>
    <col min="1290" max="1290" width="12.140625" style="789" customWidth="1"/>
    <col min="1291" max="1532" width="9.140625" style="789"/>
    <col min="1533" max="1533" width="4" style="789" customWidth="1"/>
    <col min="1534" max="1534" width="10.5703125" style="789" customWidth="1"/>
    <col min="1535" max="1535" width="11.140625" style="789" customWidth="1"/>
    <col min="1536" max="1536" width="8.7109375" style="789" customWidth="1"/>
    <col min="1537" max="1537" width="8" style="789" customWidth="1"/>
    <col min="1538" max="1538" width="10.28515625" style="789" customWidth="1"/>
    <col min="1539" max="1539" width="7.140625" style="789" customWidth="1"/>
    <col min="1540" max="1540" width="6.85546875" style="789" customWidth="1"/>
    <col min="1541" max="1541" width="11.7109375" style="789" customWidth="1"/>
    <col min="1542" max="1542" width="11.5703125" style="789" customWidth="1"/>
    <col min="1543" max="1543" width="9.140625" style="789"/>
    <col min="1544" max="1544" width="10.5703125" style="789" bestFit="1" customWidth="1"/>
    <col min="1545" max="1545" width="9.140625" style="789"/>
    <col min="1546" max="1546" width="12.140625" style="789" customWidth="1"/>
    <col min="1547" max="1788" width="9.140625" style="789"/>
    <col min="1789" max="1789" width="4" style="789" customWidth="1"/>
    <col min="1790" max="1790" width="10.5703125" style="789" customWidth="1"/>
    <col min="1791" max="1791" width="11.140625" style="789" customWidth="1"/>
    <col min="1792" max="1792" width="8.7109375" style="789" customWidth="1"/>
    <col min="1793" max="1793" width="8" style="789" customWidth="1"/>
    <col min="1794" max="1794" width="10.28515625" style="789" customWidth="1"/>
    <col min="1795" max="1795" width="7.140625" style="789" customWidth="1"/>
    <col min="1796" max="1796" width="6.85546875" style="789" customWidth="1"/>
    <col min="1797" max="1797" width="11.7109375" style="789" customWidth="1"/>
    <col min="1798" max="1798" width="11.5703125" style="789" customWidth="1"/>
    <col min="1799" max="1799" width="9.140625" style="789"/>
    <col min="1800" max="1800" width="10.5703125" style="789" bestFit="1" customWidth="1"/>
    <col min="1801" max="1801" width="9.140625" style="789"/>
    <col min="1802" max="1802" width="12.140625" style="789" customWidth="1"/>
    <col min="1803" max="2044" width="9.140625" style="789"/>
    <col min="2045" max="2045" width="4" style="789" customWidth="1"/>
    <col min="2046" max="2046" width="10.5703125" style="789" customWidth="1"/>
    <col min="2047" max="2047" width="11.140625" style="789" customWidth="1"/>
    <col min="2048" max="2048" width="8.7109375" style="789" customWidth="1"/>
    <col min="2049" max="2049" width="8" style="789" customWidth="1"/>
    <col min="2050" max="2050" width="10.28515625" style="789" customWidth="1"/>
    <col min="2051" max="2051" width="7.140625" style="789" customWidth="1"/>
    <col min="2052" max="2052" width="6.85546875" style="789" customWidth="1"/>
    <col min="2053" max="2053" width="11.7109375" style="789" customWidth="1"/>
    <col min="2054" max="2054" width="11.5703125" style="789" customWidth="1"/>
    <col min="2055" max="2055" width="9.140625" style="789"/>
    <col min="2056" max="2056" width="10.5703125" style="789" bestFit="1" customWidth="1"/>
    <col min="2057" max="2057" width="9.140625" style="789"/>
    <col min="2058" max="2058" width="12.140625" style="789" customWidth="1"/>
    <col min="2059" max="2300" width="9.140625" style="789"/>
    <col min="2301" max="2301" width="4" style="789" customWidth="1"/>
    <col min="2302" max="2302" width="10.5703125" style="789" customWidth="1"/>
    <col min="2303" max="2303" width="11.140625" style="789" customWidth="1"/>
    <col min="2304" max="2304" width="8.7109375" style="789" customWidth="1"/>
    <col min="2305" max="2305" width="8" style="789" customWidth="1"/>
    <col min="2306" max="2306" width="10.28515625" style="789" customWidth="1"/>
    <col min="2307" max="2307" width="7.140625" style="789" customWidth="1"/>
    <col min="2308" max="2308" width="6.85546875" style="789" customWidth="1"/>
    <col min="2309" max="2309" width="11.7109375" style="789" customWidth="1"/>
    <col min="2310" max="2310" width="11.5703125" style="789" customWidth="1"/>
    <col min="2311" max="2311" width="9.140625" style="789"/>
    <col min="2312" max="2312" width="10.5703125" style="789" bestFit="1" customWidth="1"/>
    <col min="2313" max="2313" width="9.140625" style="789"/>
    <col min="2314" max="2314" width="12.140625" style="789" customWidth="1"/>
    <col min="2315" max="2556" width="9.140625" style="789"/>
    <col min="2557" max="2557" width="4" style="789" customWidth="1"/>
    <col min="2558" max="2558" width="10.5703125" style="789" customWidth="1"/>
    <col min="2559" max="2559" width="11.140625" style="789" customWidth="1"/>
    <col min="2560" max="2560" width="8.7109375" style="789" customWidth="1"/>
    <col min="2561" max="2561" width="8" style="789" customWidth="1"/>
    <col min="2562" max="2562" width="10.28515625" style="789" customWidth="1"/>
    <col min="2563" max="2563" width="7.140625" style="789" customWidth="1"/>
    <col min="2564" max="2564" width="6.85546875" style="789" customWidth="1"/>
    <col min="2565" max="2565" width="11.7109375" style="789" customWidth="1"/>
    <col min="2566" max="2566" width="11.5703125" style="789" customWidth="1"/>
    <col min="2567" max="2567" width="9.140625" style="789"/>
    <col min="2568" max="2568" width="10.5703125" style="789" bestFit="1" customWidth="1"/>
    <col min="2569" max="2569" width="9.140625" style="789"/>
    <col min="2570" max="2570" width="12.140625" style="789" customWidth="1"/>
    <col min="2571" max="2812" width="9.140625" style="789"/>
    <col min="2813" max="2813" width="4" style="789" customWidth="1"/>
    <col min="2814" max="2814" width="10.5703125" style="789" customWidth="1"/>
    <col min="2815" max="2815" width="11.140625" style="789" customWidth="1"/>
    <col min="2816" max="2816" width="8.7109375" style="789" customWidth="1"/>
    <col min="2817" max="2817" width="8" style="789" customWidth="1"/>
    <col min="2818" max="2818" width="10.28515625" style="789" customWidth="1"/>
    <col min="2819" max="2819" width="7.140625" style="789" customWidth="1"/>
    <col min="2820" max="2820" width="6.85546875" style="789" customWidth="1"/>
    <col min="2821" max="2821" width="11.7109375" style="789" customWidth="1"/>
    <col min="2822" max="2822" width="11.5703125" style="789" customWidth="1"/>
    <col min="2823" max="2823" width="9.140625" style="789"/>
    <col min="2824" max="2824" width="10.5703125" style="789" bestFit="1" customWidth="1"/>
    <col min="2825" max="2825" width="9.140625" style="789"/>
    <col min="2826" max="2826" width="12.140625" style="789" customWidth="1"/>
    <col min="2827" max="3068" width="9.140625" style="789"/>
    <col min="3069" max="3069" width="4" style="789" customWidth="1"/>
    <col min="3070" max="3070" width="10.5703125" style="789" customWidth="1"/>
    <col min="3071" max="3071" width="11.140625" style="789" customWidth="1"/>
    <col min="3072" max="3072" width="8.7109375" style="789" customWidth="1"/>
    <col min="3073" max="3073" width="8" style="789" customWidth="1"/>
    <col min="3074" max="3074" width="10.28515625" style="789" customWidth="1"/>
    <col min="3075" max="3075" width="7.140625" style="789" customWidth="1"/>
    <col min="3076" max="3076" width="6.85546875" style="789" customWidth="1"/>
    <col min="3077" max="3077" width="11.7109375" style="789" customWidth="1"/>
    <col min="3078" max="3078" width="11.5703125" style="789" customWidth="1"/>
    <col min="3079" max="3079" width="9.140625" style="789"/>
    <col min="3080" max="3080" width="10.5703125" style="789" bestFit="1" customWidth="1"/>
    <col min="3081" max="3081" width="9.140625" style="789"/>
    <col min="3082" max="3082" width="12.140625" style="789" customWidth="1"/>
    <col min="3083" max="3324" width="9.140625" style="789"/>
    <col min="3325" max="3325" width="4" style="789" customWidth="1"/>
    <col min="3326" max="3326" width="10.5703125" style="789" customWidth="1"/>
    <col min="3327" max="3327" width="11.140625" style="789" customWidth="1"/>
    <col min="3328" max="3328" width="8.7109375" style="789" customWidth="1"/>
    <col min="3329" max="3329" width="8" style="789" customWidth="1"/>
    <col min="3330" max="3330" width="10.28515625" style="789" customWidth="1"/>
    <col min="3331" max="3331" width="7.140625" style="789" customWidth="1"/>
    <col min="3332" max="3332" width="6.85546875" style="789" customWidth="1"/>
    <col min="3333" max="3333" width="11.7109375" style="789" customWidth="1"/>
    <col min="3334" max="3334" width="11.5703125" style="789" customWidth="1"/>
    <col min="3335" max="3335" width="9.140625" style="789"/>
    <col min="3336" max="3336" width="10.5703125" style="789" bestFit="1" customWidth="1"/>
    <col min="3337" max="3337" width="9.140625" style="789"/>
    <col min="3338" max="3338" width="12.140625" style="789" customWidth="1"/>
    <col min="3339" max="3580" width="9.140625" style="789"/>
    <col min="3581" max="3581" width="4" style="789" customWidth="1"/>
    <col min="3582" max="3582" width="10.5703125" style="789" customWidth="1"/>
    <col min="3583" max="3583" width="11.140625" style="789" customWidth="1"/>
    <col min="3584" max="3584" width="8.7109375" style="789" customWidth="1"/>
    <col min="3585" max="3585" width="8" style="789" customWidth="1"/>
    <col min="3586" max="3586" width="10.28515625" style="789" customWidth="1"/>
    <col min="3587" max="3587" width="7.140625" style="789" customWidth="1"/>
    <col min="3588" max="3588" width="6.85546875" style="789" customWidth="1"/>
    <col min="3589" max="3589" width="11.7109375" style="789" customWidth="1"/>
    <col min="3590" max="3590" width="11.5703125" style="789" customWidth="1"/>
    <col min="3591" max="3591" width="9.140625" style="789"/>
    <col min="3592" max="3592" width="10.5703125" style="789" bestFit="1" customWidth="1"/>
    <col min="3593" max="3593" width="9.140625" style="789"/>
    <col min="3594" max="3594" width="12.140625" style="789" customWidth="1"/>
    <col min="3595" max="3836" width="9.140625" style="789"/>
    <col min="3837" max="3837" width="4" style="789" customWidth="1"/>
    <col min="3838" max="3838" width="10.5703125" style="789" customWidth="1"/>
    <col min="3839" max="3839" width="11.140625" style="789" customWidth="1"/>
    <col min="3840" max="3840" width="8.7109375" style="789" customWidth="1"/>
    <col min="3841" max="3841" width="8" style="789" customWidth="1"/>
    <col min="3842" max="3842" width="10.28515625" style="789" customWidth="1"/>
    <col min="3843" max="3843" width="7.140625" style="789" customWidth="1"/>
    <col min="3844" max="3844" width="6.85546875" style="789" customWidth="1"/>
    <col min="3845" max="3845" width="11.7109375" style="789" customWidth="1"/>
    <col min="3846" max="3846" width="11.5703125" style="789" customWidth="1"/>
    <col min="3847" max="3847" width="9.140625" style="789"/>
    <col min="3848" max="3848" width="10.5703125" style="789" bestFit="1" customWidth="1"/>
    <col min="3849" max="3849" width="9.140625" style="789"/>
    <col min="3850" max="3850" width="12.140625" style="789" customWidth="1"/>
    <col min="3851" max="4092" width="9.140625" style="789"/>
    <col min="4093" max="4093" width="4" style="789" customWidth="1"/>
    <col min="4094" max="4094" width="10.5703125" style="789" customWidth="1"/>
    <col min="4095" max="4095" width="11.140625" style="789" customWidth="1"/>
    <col min="4096" max="4096" width="8.7109375" style="789" customWidth="1"/>
    <col min="4097" max="4097" width="8" style="789" customWidth="1"/>
    <col min="4098" max="4098" width="10.28515625" style="789" customWidth="1"/>
    <col min="4099" max="4099" width="7.140625" style="789" customWidth="1"/>
    <col min="4100" max="4100" width="6.85546875" style="789" customWidth="1"/>
    <col min="4101" max="4101" width="11.7109375" style="789" customWidth="1"/>
    <col min="4102" max="4102" width="11.5703125" style="789" customWidth="1"/>
    <col min="4103" max="4103" width="9.140625" style="789"/>
    <col min="4104" max="4104" width="10.5703125" style="789" bestFit="1" customWidth="1"/>
    <col min="4105" max="4105" width="9.140625" style="789"/>
    <col min="4106" max="4106" width="12.140625" style="789" customWidth="1"/>
    <col min="4107" max="4348" width="9.140625" style="789"/>
    <col min="4349" max="4349" width="4" style="789" customWidth="1"/>
    <col min="4350" max="4350" width="10.5703125" style="789" customWidth="1"/>
    <col min="4351" max="4351" width="11.140625" style="789" customWidth="1"/>
    <col min="4352" max="4352" width="8.7109375" style="789" customWidth="1"/>
    <col min="4353" max="4353" width="8" style="789" customWidth="1"/>
    <col min="4354" max="4354" width="10.28515625" style="789" customWidth="1"/>
    <col min="4355" max="4355" width="7.140625" style="789" customWidth="1"/>
    <col min="4356" max="4356" width="6.85546875" style="789" customWidth="1"/>
    <col min="4357" max="4357" width="11.7109375" style="789" customWidth="1"/>
    <col min="4358" max="4358" width="11.5703125" style="789" customWidth="1"/>
    <col min="4359" max="4359" width="9.140625" style="789"/>
    <col min="4360" max="4360" width="10.5703125" style="789" bestFit="1" customWidth="1"/>
    <col min="4361" max="4361" width="9.140625" style="789"/>
    <col min="4362" max="4362" width="12.140625" style="789" customWidth="1"/>
    <col min="4363" max="4604" width="9.140625" style="789"/>
    <col min="4605" max="4605" width="4" style="789" customWidth="1"/>
    <col min="4606" max="4606" width="10.5703125" style="789" customWidth="1"/>
    <col min="4607" max="4607" width="11.140625" style="789" customWidth="1"/>
    <col min="4608" max="4608" width="8.7109375" style="789" customWidth="1"/>
    <col min="4609" max="4609" width="8" style="789" customWidth="1"/>
    <col min="4610" max="4610" width="10.28515625" style="789" customWidth="1"/>
    <col min="4611" max="4611" width="7.140625" style="789" customWidth="1"/>
    <col min="4612" max="4612" width="6.85546875" style="789" customWidth="1"/>
    <col min="4613" max="4613" width="11.7109375" style="789" customWidth="1"/>
    <col min="4614" max="4614" width="11.5703125" style="789" customWidth="1"/>
    <col min="4615" max="4615" width="9.140625" style="789"/>
    <col min="4616" max="4616" width="10.5703125" style="789" bestFit="1" customWidth="1"/>
    <col min="4617" max="4617" width="9.140625" style="789"/>
    <col min="4618" max="4618" width="12.140625" style="789" customWidth="1"/>
    <col min="4619" max="4860" width="9.140625" style="789"/>
    <col min="4861" max="4861" width="4" style="789" customWidth="1"/>
    <col min="4862" max="4862" width="10.5703125" style="789" customWidth="1"/>
    <col min="4863" max="4863" width="11.140625" style="789" customWidth="1"/>
    <col min="4864" max="4864" width="8.7109375" style="789" customWidth="1"/>
    <col min="4865" max="4865" width="8" style="789" customWidth="1"/>
    <col min="4866" max="4866" width="10.28515625" style="789" customWidth="1"/>
    <col min="4867" max="4867" width="7.140625" style="789" customWidth="1"/>
    <col min="4868" max="4868" width="6.85546875" style="789" customWidth="1"/>
    <col min="4869" max="4869" width="11.7109375" style="789" customWidth="1"/>
    <col min="4870" max="4870" width="11.5703125" style="789" customWidth="1"/>
    <col min="4871" max="4871" width="9.140625" style="789"/>
    <col min="4872" max="4872" width="10.5703125" style="789" bestFit="1" customWidth="1"/>
    <col min="4873" max="4873" width="9.140625" style="789"/>
    <col min="4874" max="4874" width="12.140625" style="789" customWidth="1"/>
    <col min="4875" max="5116" width="9.140625" style="789"/>
    <col min="5117" max="5117" width="4" style="789" customWidth="1"/>
    <col min="5118" max="5118" width="10.5703125" style="789" customWidth="1"/>
    <col min="5119" max="5119" width="11.140625" style="789" customWidth="1"/>
    <col min="5120" max="5120" width="8.7109375" style="789" customWidth="1"/>
    <col min="5121" max="5121" width="8" style="789" customWidth="1"/>
    <col min="5122" max="5122" width="10.28515625" style="789" customWidth="1"/>
    <col min="5123" max="5123" width="7.140625" style="789" customWidth="1"/>
    <col min="5124" max="5124" width="6.85546875" style="789" customWidth="1"/>
    <col min="5125" max="5125" width="11.7109375" style="789" customWidth="1"/>
    <col min="5126" max="5126" width="11.5703125" style="789" customWidth="1"/>
    <col min="5127" max="5127" width="9.140625" style="789"/>
    <col min="5128" max="5128" width="10.5703125" style="789" bestFit="1" customWidth="1"/>
    <col min="5129" max="5129" width="9.140625" style="789"/>
    <col min="5130" max="5130" width="12.140625" style="789" customWidth="1"/>
    <col min="5131" max="5372" width="9.140625" style="789"/>
    <col min="5373" max="5373" width="4" style="789" customWidth="1"/>
    <col min="5374" max="5374" width="10.5703125" style="789" customWidth="1"/>
    <col min="5375" max="5375" width="11.140625" style="789" customWidth="1"/>
    <col min="5376" max="5376" width="8.7109375" style="789" customWidth="1"/>
    <col min="5377" max="5377" width="8" style="789" customWidth="1"/>
    <col min="5378" max="5378" width="10.28515625" style="789" customWidth="1"/>
    <col min="5379" max="5379" width="7.140625" style="789" customWidth="1"/>
    <col min="5380" max="5380" width="6.85546875" style="789" customWidth="1"/>
    <col min="5381" max="5381" width="11.7109375" style="789" customWidth="1"/>
    <col min="5382" max="5382" width="11.5703125" style="789" customWidth="1"/>
    <col min="5383" max="5383" width="9.140625" style="789"/>
    <col min="5384" max="5384" width="10.5703125" style="789" bestFit="1" customWidth="1"/>
    <col min="5385" max="5385" width="9.140625" style="789"/>
    <col min="5386" max="5386" width="12.140625" style="789" customWidth="1"/>
    <col min="5387" max="5628" width="9.140625" style="789"/>
    <col min="5629" max="5629" width="4" style="789" customWidth="1"/>
    <col min="5630" max="5630" width="10.5703125" style="789" customWidth="1"/>
    <col min="5631" max="5631" width="11.140625" style="789" customWidth="1"/>
    <col min="5632" max="5632" width="8.7109375" style="789" customWidth="1"/>
    <col min="5633" max="5633" width="8" style="789" customWidth="1"/>
    <col min="5634" max="5634" width="10.28515625" style="789" customWidth="1"/>
    <col min="5635" max="5635" width="7.140625" style="789" customWidth="1"/>
    <col min="5636" max="5636" width="6.85546875" style="789" customWidth="1"/>
    <col min="5637" max="5637" width="11.7109375" style="789" customWidth="1"/>
    <col min="5638" max="5638" width="11.5703125" style="789" customWidth="1"/>
    <col min="5639" max="5639" width="9.140625" style="789"/>
    <col min="5640" max="5640" width="10.5703125" style="789" bestFit="1" customWidth="1"/>
    <col min="5641" max="5641" width="9.140625" style="789"/>
    <col min="5642" max="5642" width="12.140625" style="789" customWidth="1"/>
    <col min="5643" max="5884" width="9.140625" style="789"/>
    <col min="5885" max="5885" width="4" style="789" customWidth="1"/>
    <col min="5886" max="5886" width="10.5703125" style="789" customWidth="1"/>
    <col min="5887" max="5887" width="11.140625" style="789" customWidth="1"/>
    <col min="5888" max="5888" width="8.7109375" style="789" customWidth="1"/>
    <col min="5889" max="5889" width="8" style="789" customWidth="1"/>
    <col min="5890" max="5890" width="10.28515625" style="789" customWidth="1"/>
    <col min="5891" max="5891" width="7.140625" style="789" customWidth="1"/>
    <col min="5892" max="5892" width="6.85546875" style="789" customWidth="1"/>
    <col min="5893" max="5893" width="11.7109375" style="789" customWidth="1"/>
    <col min="5894" max="5894" width="11.5703125" style="789" customWidth="1"/>
    <col min="5895" max="5895" width="9.140625" style="789"/>
    <col min="5896" max="5896" width="10.5703125" style="789" bestFit="1" customWidth="1"/>
    <col min="5897" max="5897" width="9.140625" style="789"/>
    <col min="5898" max="5898" width="12.140625" style="789" customWidth="1"/>
    <col min="5899" max="6140" width="9.140625" style="789"/>
    <col min="6141" max="6141" width="4" style="789" customWidth="1"/>
    <col min="6142" max="6142" width="10.5703125" style="789" customWidth="1"/>
    <col min="6143" max="6143" width="11.140625" style="789" customWidth="1"/>
    <col min="6144" max="6144" width="8.7109375" style="789" customWidth="1"/>
    <col min="6145" max="6145" width="8" style="789" customWidth="1"/>
    <col min="6146" max="6146" width="10.28515625" style="789" customWidth="1"/>
    <col min="6147" max="6147" width="7.140625" style="789" customWidth="1"/>
    <col min="6148" max="6148" width="6.85546875" style="789" customWidth="1"/>
    <col min="6149" max="6149" width="11.7109375" style="789" customWidth="1"/>
    <col min="6150" max="6150" width="11.5703125" style="789" customWidth="1"/>
    <col min="6151" max="6151" width="9.140625" style="789"/>
    <col min="6152" max="6152" width="10.5703125" style="789" bestFit="1" customWidth="1"/>
    <col min="6153" max="6153" width="9.140625" style="789"/>
    <col min="6154" max="6154" width="12.140625" style="789" customWidth="1"/>
    <col min="6155" max="6396" width="9.140625" style="789"/>
    <col min="6397" max="6397" width="4" style="789" customWidth="1"/>
    <col min="6398" max="6398" width="10.5703125" style="789" customWidth="1"/>
    <col min="6399" max="6399" width="11.140625" style="789" customWidth="1"/>
    <col min="6400" max="6400" width="8.7109375" style="789" customWidth="1"/>
    <col min="6401" max="6401" width="8" style="789" customWidth="1"/>
    <col min="6402" max="6402" width="10.28515625" style="789" customWidth="1"/>
    <col min="6403" max="6403" width="7.140625" style="789" customWidth="1"/>
    <col min="6404" max="6404" width="6.85546875" style="789" customWidth="1"/>
    <col min="6405" max="6405" width="11.7109375" style="789" customWidth="1"/>
    <col min="6406" max="6406" width="11.5703125" style="789" customWidth="1"/>
    <col min="6407" max="6407" width="9.140625" style="789"/>
    <col min="6408" max="6408" width="10.5703125" style="789" bestFit="1" customWidth="1"/>
    <col min="6409" max="6409" width="9.140625" style="789"/>
    <col min="6410" max="6410" width="12.140625" style="789" customWidth="1"/>
    <col min="6411" max="6652" width="9.140625" style="789"/>
    <col min="6653" max="6653" width="4" style="789" customWidth="1"/>
    <col min="6654" max="6654" width="10.5703125" style="789" customWidth="1"/>
    <col min="6655" max="6655" width="11.140625" style="789" customWidth="1"/>
    <col min="6656" max="6656" width="8.7109375" style="789" customWidth="1"/>
    <col min="6657" max="6657" width="8" style="789" customWidth="1"/>
    <col min="6658" max="6658" width="10.28515625" style="789" customWidth="1"/>
    <col min="6659" max="6659" width="7.140625" style="789" customWidth="1"/>
    <col min="6660" max="6660" width="6.85546875" style="789" customWidth="1"/>
    <col min="6661" max="6661" width="11.7109375" style="789" customWidth="1"/>
    <col min="6662" max="6662" width="11.5703125" style="789" customWidth="1"/>
    <col min="6663" max="6663" width="9.140625" style="789"/>
    <col min="6664" max="6664" width="10.5703125" style="789" bestFit="1" customWidth="1"/>
    <col min="6665" max="6665" width="9.140625" style="789"/>
    <col min="6666" max="6666" width="12.140625" style="789" customWidth="1"/>
    <col min="6667" max="6908" width="9.140625" style="789"/>
    <col min="6909" max="6909" width="4" style="789" customWidth="1"/>
    <col min="6910" max="6910" width="10.5703125" style="789" customWidth="1"/>
    <col min="6911" max="6911" width="11.140625" style="789" customWidth="1"/>
    <col min="6912" max="6912" width="8.7109375" style="789" customWidth="1"/>
    <col min="6913" max="6913" width="8" style="789" customWidth="1"/>
    <col min="6914" max="6914" width="10.28515625" style="789" customWidth="1"/>
    <col min="6915" max="6915" width="7.140625" style="789" customWidth="1"/>
    <col min="6916" max="6916" width="6.85546875" style="789" customWidth="1"/>
    <col min="6917" max="6917" width="11.7109375" style="789" customWidth="1"/>
    <col min="6918" max="6918" width="11.5703125" style="789" customWidth="1"/>
    <col min="6919" max="6919" width="9.140625" style="789"/>
    <col min="6920" max="6920" width="10.5703125" style="789" bestFit="1" customWidth="1"/>
    <col min="6921" max="6921" width="9.140625" style="789"/>
    <col min="6922" max="6922" width="12.140625" style="789" customWidth="1"/>
    <col min="6923" max="7164" width="9.140625" style="789"/>
    <col min="7165" max="7165" width="4" style="789" customWidth="1"/>
    <col min="7166" max="7166" width="10.5703125" style="789" customWidth="1"/>
    <col min="7167" max="7167" width="11.140625" style="789" customWidth="1"/>
    <col min="7168" max="7168" width="8.7109375" style="789" customWidth="1"/>
    <col min="7169" max="7169" width="8" style="789" customWidth="1"/>
    <col min="7170" max="7170" width="10.28515625" style="789" customWidth="1"/>
    <col min="7171" max="7171" width="7.140625" style="789" customWidth="1"/>
    <col min="7172" max="7172" width="6.85546875" style="789" customWidth="1"/>
    <col min="7173" max="7173" width="11.7109375" style="789" customWidth="1"/>
    <col min="7174" max="7174" width="11.5703125" style="789" customWidth="1"/>
    <col min="7175" max="7175" width="9.140625" style="789"/>
    <col min="7176" max="7176" width="10.5703125" style="789" bestFit="1" customWidth="1"/>
    <col min="7177" max="7177" width="9.140625" style="789"/>
    <col min="7178" max="7178" width="12.140625" style="789" customWidth="1"/>
    <col min="7179" max="7420" width="9.140625" style="789"/>
    <col min="7421" max="7421" width="4" style="789" customWidth="1"/>
    <col min="7422" max="7422" width="10.5703125" style="789" customWidth="1"/>
    <col min="7423" max="7423" width="11.140625" style="789" customWidth="1"/>
    <col min="7424" max="7424" width="8.7109375" style="789" customWidth="1"/>
    <col min="7425" max="7425" width="8" style="789" customWidth="1"/>
    <col min="7426" max="7426" width="10.28515625" style="789" customWidth="1"/>
    <col min="7427" max="7427" width="7.140625" style="789" customWidth="1"/>
    <col min="7428" max="7428" width="6.85546875" style="789" customWidth="1"/>
    <col min="7429" max="7429" width="11.7109375" style="789" customWidth="1"/>
    <col min="7430" max="7430" width="11.5703125" style="789" customWidth="1"/>
    <col min="7431" max="7431" width="9.140625" style="789"/>
    <col min="7432" max="7432" width="10.5703125" style="789" bestFit="1" customWidth="1"/>
    <col min="7433" max="7433" width="9.140625" style="789"/>
    <col min="7434" max="7434" width="12.140625" style="789" customWidth="1"/>
    <col min="7435" max="7676" width="9.140625" style="789"/>
    <col min="7677" max="7677" width="4" style="789" customWidth="1"/>
    <col min="7678" max="7678" width="10.5703125" style="789" customWidth="1"/>
    <col min="7679" max="7679" width="11.140625" style="789" customWidth="1"/>
    <col min="7680" max="7680" width="8.7109375" style="789" customWidth="1"/>
    <col min="7681" max="7681" width="8" style="789" customWidth="1"/>
    <col min="7682" max="7682" width="10.28515625" style="789" customWidth="1"/>
    <col min="7683" max="7683" width="7.140625" style="789" customWidth="1"/>
    <col min="7684" max="7684" width="6.85546875" style="789" customWidth="1"/>
    <col min="7685" max="7685" width="11.7109375" style="789" customWidth="1"/>
    <col min="7686" max="7686" width="11.5703125" style="789" customWidth="1"/>
    <col min="7687" max="7687" width="9.140625" style="789"/>
    <col min="7688" max="7688" width="10.5703125" style="789" bestFit="1" customWidth="1"/>
    <col min="7689" max="7689" width="9.140625" style="789"/>
    <col min="7690" max="7690" width="12.140625" style="789" customWidth="1"/>
    <col min="7691" max="7932" width="9.140625" style="789"/>
    <col min="7933" max="7933" width="4" style="789" customWidth="1"/>
    <col min="7934" max="7934" width="10.5703125" style="789" customWidth="1"/>
    <col min="7935" max="7935" width="11.140625" style="789" customWidth="1"/>
    <col min="7936" max="7936" width="8.7109375" style="789" customWidth="1"/>
    <col min="7937" max="7937" width="8" style="789" customWidth="1"/>
    <col min="7938" max="7938" width="10.28515625" style="789" customWidth="1"/>
    <col min="7939" max="7939" width="7.140625" style="789" customWidth="1"/>
    <col min="7940" max="7940" width="6.85546875" style="789" customWidth="1"/>
    <col min="7941" max="7941" width="11.7109375" style="789" customWidth="1"/>
    <col min="7942" max="7942" width="11.5703125" style="789" customWidth="1"/>
    <col min="7943" max="7943" width="9.140625" style="789"/>
    <col min="7944" max="7944" width="10.5703125" style="789" bestFit="1" customWidth="1"/>
    <col min="7945" max="7945" width="9.140625" style="789"/>
    <col min="7946" max="7946" width="12.140625" style="789" customWidth="1"/>
    <col min="7947" max="8188" width="9.140625" style="789"/>
    <col min="8189" max="8189" width="4" style="789" customWidth="1"/>
    <col min="8190" max="8190" width="10.5703125" style="789" customWidth="1"/>
    <col min="8191" max="8191" width="11.140625" style="789" customWidth="1"/>
    <col min="8192" max="8192" width="8.7109375" style="789" customWidth="1"/>
    <col min="8193" max="8193" width="8" style="789" customWidth="1"/>
    <col min="8194" max="8194" width="10.28515625" style="789" customWidth="1"/>
    <col min="8195" max="8195" width="7.140625" style="789" customWidth="1"/>
    <col min="8196" max="8196" width="6.85546875" style="789" customWidth="1"/>
    <col min="8197" max="8197" width="11.7109375" style="789" customWidth="1"/>
    <col min="8198" max="8198" width="11.5703125" style="789" customWidth="1"/>
    <col min="8199" max="8199" width="9.140625" style="789"/>
    <col min="8200" max="8200" width="10.5703125" style="789" bestFit="1" customWidth="1"/>
    <col min="8201" max="8201" width="9.140625" style="789"/>
    <col min="8202" max="8202" width="12.140625" style="789" customWidth="1"/>
    <col min="8203" max="8444" width="9.140625" style="789"/>
    <col min="8445" max="8445" width="4" style="789" customWidth="1"/>
    <col min="8446" max="8446" width="10.5703125" style="789" customWidth="1"/>
    <col min="8447" max="8447" width="11.140625" style="789" customWidth="1"/>
    <col min="8448" max="8448" width="8.7109375" style="789" customWidth="1"/>
    <col min="8449" max="8449" width="8" style="789" customWidth="1"/>
    <col min="8450" max="8450" width="10.28515625" style="789" customWidth="1"/>
    <col min="8451" max="8451" width="7.140625" style="789" customWidth="1"/>
    <col min="8452" max="8452" width="6.85546875" style="789" customWidth="1"/>
    <col min="8453" max="8453" width="11.7109375" style="789" customWidth="1"/>
    <col min="8454" max="8454" width="11.5703125" style="789" customWidth="1"/>
    <col min="8455" max="8455" width="9.140625" style="789"/>
    <col min="8456" max="8456" width="10.5703125" style="789" bestFit="1" customWidth="1"/>
    <col min="8457" max="8457" width="9.140625" style="789"/>
    <col min="8458" max="8458" width="12.140625" style="789" customWidth="1"/>
    <col min="8459" max="8700" width="9.140625" style="789"/>
    <col min="8701" max="8701" width="4" style="789" customWidth="1"/>
    <col min="8702" max="8702" width="10.5703125" style="789" customWidth="1"/>
    <col min="8703" max="8703" width="11.140625" style="789" customWidth="1"/>
    <col min="8704" max="8704" width="8.7109375" style="789" customWidth="1"/>
    <col min="8705" max="8705" width="8" style="789" customWidth="1"/>
    <col min="8706" max="8706" width="10.28515625" style="789" customWidth="1"/>
    <col min="8707" max="8707" width="7.140625" style="789" customWidth="1"/>
    <col min="8708" max="8708" width="6.85546875" style="789" customWidth="1"/>
    <col min="8709" max="8709" width="11.7109375" style="789" customWidth="1"/>
    <col min="8710" max="8710" width="11.5703125" style="789" customWidth="1"/>
    <col min="8711" max="8711" width="9.140625" style="789"/>
    <col min="8712" max="8712" width="10.5703125" style="789" bestFit="1" customWidth="1"/>
    <col min="8713" max="8713" width="9.140625" style="789"/>
    <col min="8714" max="8714" width="12.140625" style="789" customWidth="1"/>
    <col min="8715" max="8956" width="9.140625" style="789"/>
    <col min="8957" max="8957" width="4" style="789" customWidth="1"/>
    <col min="8958" max="8958" width="10.5703125" style="789" customWidth="1"/>
    <col min="8959" max="8959" width="11.140625" style="789" customWidth="1"/>
    <col min="8960" max="8960" width="8.7109375" style="789" customWidth="1"/>
    <col min="8961" max="8961" width="8" style="789" customWidth="1"/>
    <col min="8962" max="8962" width="10.28515625" style="789" customWidth="1"/>
    <col min="8963" max="8963" width="7.140625" style="789" customWidth="1"/>
    <col min="8964" max="8964" width="6.85546875" style="789" customWidth="1"/>
    <col min="8965" max="8965" width="11.7109375" style="789" customWidth="1"/>
    <col min="8966" max="8966" width="11.5703125" style="789" customWidth="1"/>
    <col min="8967" max="8967" width="9.140625" style="789"/>
    <col min="8968" max="8968" width="10.5703125" style="789" bestFit="1" customWidth="1"/>
    <col min="8969" max="8969" width="9.140625" style="789"/>
    <col min="8970" max="8970" width="12.140625" style="789" customWidth="1"/>
    <col min="8971" max="9212" width="9.140625" style="789"/>
    <col min="9213" max="9213" width="4" style="789" customWidth="1"/>
    <col min="9214" max="9214" width="10.5703125" style="789" customWidth="1"/>
    <col min="9215" max="9215" width="11.140625" style="789" customWidth="1"/>
    <col min="9216" max="9216" width="8.7109375" style="789" customWidth="1"/>
    <col min="9217" max="9217" width="8" style="789" customWidth="1"/>
    <col min="9218" max="9218" width="10.28515625" style="789" customWidth="1"/>
    <col min="9219" max="9219" width="7.140625" style="789" customWidth="1"/>
    <col min="9220" max="9220" width="6.85546875" style="789" customWidth="1"/>
    <col min="9221" max="9221" width="11.7109375" style="789" customWidth="1"/>
    <col min="9222" max="9222" width="11.5703125" style="789" customWidth="1"/>
    <col min="9223" max="9223" width="9.140625" style="789"/>
    <col min="9224" max="9224" width="10.5703125" style="789" bestFit="1" customWidth="1"/>
    <col min="9225" max="9225" width="9.140625" style="789"/>
    <col min="9226" max="9226" width="12.140625" style="789" customWidth="1"/>
    <col min="9227" max="9468" width="9.140625" style="789"/>
    <col min="9469" max="9469" width="4" style="789" customWidth="1"/>
    <col min="9470" max="9470" width="10.5703125" style="789" customWidth="1"/>
    <col min="9471" max="9471" width="11.140625" style="789" customWidth="1"/>
    <col min="9472" max="9472" width="8.7109375" style="789" customWidth="1"/>
    <col min="9473" max="9473" width="8" style="789" customWidth="1"/>
    <col min="9474" max="9474" width="10.28515625" style="789" customWidth="1"/>
    <col min="9475" max="9475" width="7.140625" style="789" customWidth="1"/>
    <col min="9476" max="9476" width="6.85546875" style="789" customWidth="1"/>
    <col min="9477" max="9477" width="11.7109375" style="789" customWidth="1"/>
    <col min="9478" max="9478" width="11.5703125" style="789" customWidth="1"/>
    <col min="9479" max="9479" width="9.140625" style="789"/>
    <col min="9480" max="9480" width="10.5703125" style="789" bestFit="1" customWidth="1"/>
    <col min="9481" max="9481" width="9.140625" style="789"/>
    <col min="9482" max="9482" width="12.140625" style="789" customWidth="1"/>
    <col min="9483" max="9724" width="9.140625" style="789"/>
    <col min="9725" max="9725" width="4" style="789" customWidth="1"/>
    <col min="9726" max="9726" width="10.5703125" style="789" customWidth="1"/>
    <col min="9727" max="9727" width="11.140625" style="789" customWidth="1"/>
    <col min="9728" max="9728" width="8.7109375" style="789" customWidth="1"/>
    <col min="9729" max="9729" width="8" style="789" customWidth="1"/>
    <col min="9730" max="9730" width="10.28515625" style="789" customWidth="1"/>
    <col min="9731" max="9731" width="7.140625" style="789" customWidth="1"/>
    <col min="9732" max="9732" width="6.85546875" style="789" customWidth="1"/>
    <col min="9733" max="9733" width="11.7109375" style="789" customWidth="1"/>
    <col min="9734" max="9734" width="11.5703125" style="789" customWidth="1"/>
    <col min="9735" max="9735" width="9.140625" style="789"/>
    <col min="9736" max="9736" width="10.5703125" style="789" bestFit="1" customWidth="1"/>
    <col min="9737" max="9737" width="9.140625" style="789"/>
    <col min="9738" max="9738" width="12.140625" style="789" customWidth="1"/>
    <col min="9739" max="9980" width="9.140625" style="789"/>
    <col min="9981" max="9981" width="4" style="789" customWidth="1"/>
    <col min="9982" max="9982" width="10.5703125" style="789" customWidth="1"/>
    <col min="9983" max="9983" width="11.140625" style="789" customWidth="1"/>
    <col min="9984" max="9984" width="8.7109375" style="789" customWidth="1"/>
    <col min="9985" max="9985" width="8" style="789" customWidth="1"/>
    <col min="9986" max="9986" width="10.28515625" style="789" customWidth="1"/>
    <col min="9987" max="9987" width="7.140625" style="789" customWidth="1"/>
    <col min="9988" max="9988" width="6.85546875" style="789" customWidth="1"/>
    <col min="9989" max="9989" width="11.7109375" style="789" customWidth="1"/>
    <col min="9990" max="9990" width="11.5703125" style="789" customWidth="1"/>
    <col min="9991" max="9991" width="9.140625" style="789"/>
    <col min="9992" max="9992" width="10.5703125" style="789" bestFit="1" customWidth="1"/>
    <col min="9993" max="9993" width="9.140625" style="789"/>
    <col min="9994" max="9994" width="12.140625" style="789" customWidth="1"/>
    <col min="9995" max="10236" width="9.140625" style="789"/>
    <col min="10237" max="10237" width="4" style="789" customWidth="1"/>
    <col min="10238" max="10238" width="10.5703125" style="789" customWidth="1"/>
    <col min="10239" max="10239" width="11.140625" style="789" customWidth="1"/>
    <col min="10240" max="10240" width="8.7109375" style="789" customWidth="1"/>
    <col min="10241" max="10241" width="8" style="789" customWidth="1"/>
    <col min="10242" max="10242" width="10.28515625" style="789" customWidth="1"/>
    <col min="10243" max="10243" width="7.140625" style="789" customWidth="1"/>
    <col min="10244" max="10244" width="6.85546875" style="789" customWidth="1"/>
    <col min="10245" max="10245" width="11.7109375" style="789" customWidth="1"/>
    <col min="10246" max="10246" width="11.5703125" style="789" customWidth="1"/>
    <col min="10247" max="10247" width="9.140625" style="789"/>
    <col min="10248" max="10248" width="10.5703125" style="789" bestFit="1" customWidth="1"/>
    <col min="10249" max="10249" width="9.140625" style="789"/>
    <col min="10250" max="10250" width="12.140625" style="789" customWidth="1"/>
    <col min="10251" max="10492" width="9.140625" style="789"/>
    <col min="10493" max="10493" width="4" style="789" customWidth="1"/>
    <col min="10494" max="10494" width="10.5703125" style="789" customWidth="1"/>
    <col min="10495" max="10495" width="11.140625" style="789" customWidth="1"/>
    <col min="10496" max="10496" width="8.7109375" style="789" customWidth="1"/>
    <col min="10497" max="10497" width="8" style="789" customWidth="1"/>
    <col min="10498" max="10498" width="10.28515625" style="789" customWidth="1"/>
    <col min="10499" max="10499" width="7.140625" style="789" customWidth="1"/>
    <col min="10500" max="10500" width="6.85546875" style="789" customWidth="1"/>
    <col min="10501" max="10501" width="11.7109375" style="789" customWidth="1"/>
    <col min="10502" max="10502" width="11.5703125" style="789" customWidth="1"/>
    <col min="10503" max="10503" width="9.140625" style="789"/>
    <col min="10504" max="10504" width="10.5703125" style="789" bestFit="1" customWidth="1"/>
    <col min="10505" max="10505" width="9.140625" style="789"/>
    <col min="10506" max="10506" width="12.140625" style="789" customWidth="1"/>
    <col min="10507" max="10748" width="9.140625" style="789"/>
    <col min="10749" max="10749" width="4" style="789" customWidth="1"/>
    <col min="10750" max="10750" width="10.5703125" style="789" customWidth="1"/>
    <col min="10751" max="10751" width="11.140625" style="789" customWidth="1"/>
    <col min="10752" max="10752" width="8.7109375" style="789" customWidth="1"/>
    <col min="10753" max="10753" width="8" style="789" customWidth="1"/>
    <col min="10754" max="10754" width="10.28515625" style="789" customWidth="1"/>
    <col min="10755" max="10755" width="7.140625" style="789" customWidth="1"/>
    <col min="10756" max="10756" width="6.85546875" style="789" customWidth="1"/>
    <col min="10757" max="10757" width="11.7109375" style="789" customWidth="1"/>
    <col min="10758" max="10758" width="11.5703125" style="789" customWidth="1"/>
    <col min="10759" max="10759" width="9.140625" style="789"/>
    <col min="10760" max="10760" width="10.5703125" style="789" bestFit="1" customWidth="1"/>
    <col min="10761" max="10761" width="9.140625" style="789"/>
    <col min="10762" max="10762" width="12.140625" style="789" customWidth="1"/>
    <col min="10763" max="11004" width="9.140625" style="789"/>
    <col min="11005" max="11005" width="4" style="789" customWidth="1"/>
    <col min="11006" max="11006" width="10.5703125" style="789" customWidth="1"/>
    <col min="11007" max="11007" width="11.140625" style="789" customWidth="1"/>
    <col min="11008" max="11008" width="8.7109375" style="789" customWidth="1"/>
    <col min="11009" max="11009" width="8" style="789" customWidth="1"/>
    <col min="11010" max="11010" width="10.28515625" style="789" customWidth="1"/>
    <col min="11011" max="11011" width="7.140625" style="789" customWidth="1"/>
    <col min="11012" max="11012" width="6.85546875" style="789" customWidth="1"/>
    <col min="11013" max="11013" width="11.7109375" style="789" customWidth="1"/>
    <col min="11014" max="11014" width="11.5703125" style="789" customWidth="1"/>
    <col min="11015" max="11015" width="9.140625" style="789"/>
    <col min="11016" max="11016" width="10.5703125" style="789" bestFit="1" customWidth="1"/>
    <col min="11017" max="11017" width="9.140625" style="789"/>
    <col min="11018" max="11018" width="12.140625" style="789" customWidth="1"/>
    <col min="11019" max="11260" width="9.140625" style="789"/>
    <col min="11261" max="11261" width="4" style="789" customWidth="1"/>
    <col min="11262" max="11262" width="10.5703125" style="789" customWidth="1"/>
    <col min="11263" max="11263" width="11.140625" style="789" customWidth="1"/>
    <col min="11264" max="11264" width="8.7109375" style="789" customWidth="1"/>
    <col min="11265" max="11265" width="8" style="789" customWidth="1"/>
    <col min="11266" max="11266" width="10.28515625" style="789" customWidth="1"/>
    <col min="11267" max="11267" width="7.140625" style="789" customWidth="1"/>
    <col min="11268" max="11268" width="6.85546875" style="789" customWidth="1"/>
    <col min="11269" max="11269" width="11.7109375" style="789" customWidth="1"/>
    <col min="11270" max="11270" width="11.5703125" style="789" customWidth="1"/>
    <col min="11271" max="11271" width="9.140625" style="789"/>
    <col min="11272" max="11272" width="10.5703125" style="789" bestFit="1" customWidth="1"/>
    <col min="11273" max="11273" width="9.140625" style="789"/>
    <col min="11274" max="11274" width="12.140625" style="789" customWidth="1"/>
    <col min="11275" max="11516" width="9.140625" style="789"/>
    <col min="11517" max="11517" width="4" style="789" customWidth="1"/>
    <col min="11518" max="11518" width="10.5703125" style="789" customWidth="1"/>
    <col min="11519" max="11519" width="11.140625" style="789" customWidth="1"/>
    <col min="11520" max="11520" width="8.7109375" style="789" customWidth="1"/>
    <col min="11521" max="11521" width="8" style="789" customWidth="1"/>
    <col min="11522" max="11522" width="10.28515625" style="789" customWidth="1"/>
    <col min="11523" max="11523" width="7.140625" style="789" customWidth="1"/>
    <col min="11524" max="11524" width="6.85546875" style="789" customWidth="1"/>
    <col min="11525" max="11525" width="11.7109375" style="789" customWidth="1"/>
    <col min="11526" max="11526" width="11.5703125" style="789" customWidth="1"/>
    <col min="11527" max="11527" width="9.140625" style="789"/>
    <col min="11528" max="11528" width="10.5703125" style="789" bestFit="1" customWidth="1"/>
    <col min="11529" max="11529" width="9.140625" style="789"/>
    <col min="11530" max="11530" width="12.140625" style="789" customWidth="1"/>
    <col min="11531" max="11772" width="9.140625" style="789"/>
    <col min="11773" max="11773" width="4" style="789" customWidth="1"/>
    <col min="11774" max="11774" width="10.5703125" style="789" customWidth="1"/>
    <col min="11775" max="11775" width="11.140625" style="789" customWidth="1"/>
    <col min="11776" max="11776" width="8.7109375" style="789" customWidth="1"/>
    <col min="11777" max="11777" width="8" style="789" customWidth="1"/>
    <col min="11778" max="11778" width="10.28515625" style="789" customWidth="1"/>
    <col min="11779" max="11779" width="7.140625" style="789" customWidth="1"/>
    <col min="11780" max="11780" width="6.85546875" style="789" customWidth="1"/>
    <col min="11781" max="11781" width="11.7109375" style="789" customWidth="1"/>
    <col min="11782" max="11782" width="11.5703125" style="789" customWidth="1"/>
    <col min="11783" max="11783" width="9.140625" style="789"/>
    <col min="11784" max="11784" width="10.5703125" style="789" bestFit="1" customWidth="1"/>
    <col min="11785" max="11785" width="9.140625" style="789"/>
    <col min="11786" max="11786" width="12.140625" style="789" customWidth="1"/>
    <col min="11787" max="12028" width="9.140625" style="789"/>
    <col min="12029" max="12029" width="4" style="789" customWidth="1"/>
    <col min="12030" max="12030" width="10.5703125" style="789" customWidth="1"/>
    <col min="12031" max="12031" width="11.140625" style="789" customWidth="1"/>
    <col min="12032" max="12032" width="8.7109375" style="789" customWidth="1"/>
    <col min="12033" max="12033" width="8" style="789" customWidth="1"/>
    <col min="12034" max="12034" width="10.28515625" style="789" customWidth="1"/>
    <col min="12035" max="12035" width="7.140625" style="789" customWidth="1"/>
    <col min="12036" max="12036" width="6.85546875" style="789" customWidth="1"/>
    <col min="12037" max="12037" width="11.7109375" style="789" customWidth="1"/>
    <col min="12038" max="12038" width="11.5703125" style="789" customWidth="1"/>
    <col min="12039" max="12039" width="9.140625" style="789"/>
    <col min="12040" max="12040" width="10.5703125" style="789" bestFit="1" customWidth="1"/>
    <col min="12041" max="12041" width="9.140625" style="789"/>
    <col min="12042" max="12042" width="12.140625" style="789" customWidth="1"/>
    <col min="12043" max="12284" width="9.140625" style="789"/>
    <col min="12285" max="12285" width="4" style="789" customWidth="1"/>
    <col min="12286" max="12286" width="10.5703125" style="789" customWidth="1"/>
    <col min="12287" max="12287" width="11.140625" style="789" customWidth="1"/>
    <col min="12288" max="12288" width="8.7109375" style="789" customWidth="1"/>
    <col min="12289" max="12289" width="8" style="789" customWidth="1"/>
    <col min="12290" max="12290" width="10.28515625" style="789" customWidth="1"/>
    <col min="12291" max="12291" width="7.140625" style="789" customWidth="1"/>
    <col min="12292" max="12292" width="6.85546875" style="789" customWidth="1"/>
    <col min="12293" max="12293" width="11.7109375" style="789" customWidth="1"/>
    <col min="12294" max="12294" width="11.5703125" style="789" customWidth="1"/>
    <col min="12295" max="12295" width="9.140625" style="789"/>
    <col min="12296" max="12296" width="10.5703125" style="789" bestFit="1" customWidth="1"/>
    <col min="12297" max="12297" width="9.140625" style="789"/>
    <col min="12298" max="12298" width="12.140625" style="789" customWidth="1"/>
    <col min="12299" max="12540" width="9.140625" style="789"/>
    <col min="12541" max="12541" width="4" style="789" customWidth="1"/>
    <col min="12542" max="12542" width="10.5703125" style="789" customWidth="1"/>
    <col min="12543" max="12543" width="11.140625" style="789" customWidth="1"/>
    <col min="12544" max="12544" width="8.7109375" style="789" customWidth="1"/>
    <col min="12545" max="12545" width="8" style="789" customWidth="1"/>
    <col min="12546" max="12546" width="10.28515625" style="789" customWidth="1"/>
    <col min="12547" max="12547" width="7.140625" style="789" customWidth="1"/>
    <col min="12548" max="12548" width="6.85546875" style="789" customWidth="1"/>
    <col min="12549" max="12549" width="11.7109375" style="789" customWidth="1"/>
    <col min="12550" max="12550" width="11.5703125" style="789" customWidth="1"/>
    <col min="12551" max="12551" width="9.140625" style="789"/>
    <col min="12552" max="12552" width="10.5703125" style="789" bestFit="1" customWidth="1"/>
    <col min="12553" max="12553" width="9.140625" style="789"/>
    <col min="12554" max="12554" width="12.140625" style="789" customWidth="1"/>
    <col min="12555" max="12796" width="9.140625" style="789"/>
    <col min="12797" max="12797" width="4" style="789" customWidth="1"/>
    <col min="12798" max="12798" width="10.5703125" style="789" customWidth="1"/>
    <col min="12799" max="12799" width="11.140625" style="789" customWidth="1"/>
    <col min="12800" max="12800" width="8.7109375" style="789" customWidth="1"/>
    <col min="12801" max="12801" width="8" style="789" customWidth="1"/>
    <col min="12802" max="12802" width="10.28515625" style="789" customWidth="1"/>
    <col min="12803" max="12803" width="7.140625" style="789" customWidth="1"/>
    <col min="12804" max="12804" width="6.85546875" style="789" customWidth="1"/>
    <col min="12805" max="12805" width="11.7109375" style="789" customWidth="1"/>
    <col min="12806" max="12806" width="11.5703125" style="789" customWidth="1"/>
    <col min="12807" max="12807" width="9.140625" style="789"/>
    <col min="12808" max="12808" width="10.5703125" style="789" bestFit="1" customWidth="1"/>
    <col min="12809" max="12809" width="9.140625" style="789"/>
    <col min="12810" max="12810" width="12.140625" style="789" customWidth="1"/>
    <col min="12811" max="13052" width="9.140625" style="789"/>
    <col min="13053" max="13053" width="4" style="789" customWidth="1"/>
    <col min="13054" max="13054" width="10.5703125" style="789" customWidth="1"/>
    <col min="13055" max="13055" width="11.140625" style="789" customWidth="1"/>
    <col min="13056" max="13056" width="8.7109375" style="789" customWidth="1"/>
    <col min="13057" max="13057" width="8" style="789" customWidth="1"/>
    <col min="13058" max="13058" width="10.28515625" style="789" customWidth="1"/>
    <col min="13059" max="13059" width="7.140625" style="789" customWidth="1"/>
    <col min="13060" max="13060" width="6.85546875" style="789" customWidth="1"/>
    <col min="13061" max="13061" width="11.7109375" style="789" customWidth="1"/>
    <col min="13062" max="13062" width="11.5703125" style="789" customWidth="1"/>
    <col min="13063" max="13063" width="9.140625" style="789"/>
    <col min="13064" max="13064" width="10.5703125" style="789" bestFit="1" customWidth="1"/>
    <col min="13065" max="13065" width="9.140625" style="789"/>
    <col min="13066" max="13066" width="12.140625" style="789" customWidth="1"/>
    <col min="13067" max="13308" width="9.140625" style="789"/>
    <col min="13309" max="13309" width="4" style="789" customWidth="1"/>
    <col min="13310" max="13310" width="10.5703125" style="789" customWidth="1"/>
    <col min="13311" max="13311" width="11.140625" style="789" customWidth="1"/>
    <col min="13312" max="13312" width="8.7109375" style="789" customWidth="1"/>
    <col min="13313" max="13313" width="8" style="789" customWidth="1"/>
    <col min="13314" max="13314" width="10.28515625" style="789" customWidth="1"/>
    <col min="13315" max="13315" width="7.140625" style="789" customWidth="1"/>
    <col min="13316" max="13316" width="6.85546875" style="789" customWidth="1"/>
    <col min="13317" max="13317" width="11.7109375" style="789" customWidth="1"/>
    <col min="13318" max="13318" width="11.5703125" style="789" customWidth="1"/>
    <col min="13319" max="13319" width="9.140625" style="789"/>
    <col min="13320" max="13320" width="10.5703125" style="789" bestFit="1" customWidth="1"/>
    <col min="13321" max="13321" width="9.140625" style="789"/>
    <col min="13322" max="13322" width="12.140625" style="789" customWidth="1"/>
    <col min="13323" max="13564" width="9.140625" style="789"/>
    <col min="13565" max="13565" width="4" style="789" customWidth="1"/>
    <col min="13566" max="13566" width="10.5703125" style="789" customWidth="1"/>
    <col min="13567" max="13567" width="11.140625" style="789" customWidth="1"/>
    <col min="13568" max="13568" width="8.7109375" style="789" customWidth="1"/>
    <col min="13569" max="13569" width="8" style="789" customWidth="1"/>
    <col min="13570" max="13570" width="10.28515625" style="789" customWidth="1"/>
    <col min="13571" max="13571" width="7.140625" style="789" customWidth="1"/>
    <col min="13572" max="13572" width="6.85546875" style="789" customWidth="1"/>
    <col min="13573" max="13573" width="11.7109375" style="789" customWidth="1"/>
    <col min="13574" max="13574" width="11.5703125" style="789" customWidth="1"/>
    <col min="13575" max="13575" width="9.140625" style="789"/>
    <col min="13576" max="13576" width="10.5703125" style="789" bestFit="1" customWidth="1"/>
    <col min="13577" max="13577" width="9.140625" style="789"/>
    <col min="13578" max="13578" width="12.140625" style="789" customWidth="1"/>
    <col min="13579" max="13820" width="9.140625" style="789"/>
    <col min="13821" max="13821" width="4" style="789" customWidth="1"/>
    <col min="13822" max="13822" width="10.5703125" style="789" customWidth="1"/>
    <col min="13823" max="13823" width="11.140625" style="789" customWidth="1"/>
    <col min="13824" max="13824" width="8.7109375" style="789" customWidth="1"/>
    <col min="13825" max="13825" width="8" style="789" customWidth="1"/>
    <col min="13826" max="13826" width="10.28515625" style="789" customWidth="1"/>
    <col min="13827" max="13827" width="7.140625" style="789" customWidth="1"/>
    <col min="13828" max="13828" width="6.85546875" style="789" customWidth="1"/>
    <col min="13829" max="13829" width="11.7109375" style="789" customWidth="1"/>
    <col min="13830" max="13830" width="11.5703125" style="789" customWidth="1"/>
    <col min="13831" max="13831" width="9.140625" style="789"/>
    <col min="13832" max="13832" width="10.5703125" style="789" bestFit="1" customWidth="1"/>
    <col min="13833" max="13833" width="9.140625" style="789"/>
    <col min="13834" max="13834" width="12.140625" style="789" customWidth="1"/>
    <col min="13835" max="14076" width="9.140625" style="789"/>
    <col min="14077" max="14077" width="4" style="789" customWidth="1"/>
    <col min="14078" max="14078" width="10.5703125" style="789" customWidth="1"/>
    <col min="14079" max="14079" width="11.140625" style="789" customWidth="1"/>
    <col min="14080" max="14080" width="8.7109375" style="789" customWidth="1"/>
    <col min="14081" max="14081" width="8" style="789" customWidth="1"/>
    <col min="14082" max="14082" width="10.28515625" style="789" customWidth="1"/>
    <col min="14083" max="14083" width="7.140625" style="789" customWidth="1"/>
    <col min="14084" max="14084" width="6.85546875" style="789" customWidth="1"/>
    <col min="14085" max="14085" width="11.7109375" style="789" customWidth="1"/>
    <col min="14086" max="14086" width="11.5703125" style="789" customWidth="1"/>
    <col min="14087" max="14087" width="9.140625" style="789"/>
    <col min="14088" max="14088" width="10.5703125" style="789" bestFit="1" customWidth="1"/>
    <col min="14089" max="14089" width="9.140625" style="789"/>
    <col min="14090" max="14090" width="12.140625" style="789" customWidth="1"/>
    <col min="14091" max="14332" width="9.140625" style="789"/>
    <col min="14333" max="14333" width="4" style="789" customWidth="1"/>
    <col min="14334" max="14334" width="10.5703125" style="789" customWidth="1"/>
    <col min="14335" max="14335" width="11.140625" style="789" customWidth="1"/>
    <col min="14336" max="14336" width="8.7109375" style="789" customWidth="1"/>
    <col min="14337" max="14337" width="8" style="789" customWidth="1"/>
    <col min="14338" max="14338" width="10.28515625" style="789" customWidth="1"/>
    <col min="14339" max="14339" width="7.140625" style="789" customWidth="1"/>
    <col min="14340" max="14340" width="6.85546875" style="789" customWidth="1"/>
    <col min="14341" max="14341" width="11.7109375" style="789" customWidth="1"/>
    <col min="14342" max="14342" width="11.5703125" style="789" customWidth="1"/>
    <col min="14343" max="14343" width="9.140625" style="789"/>
    <col min="14344" max="14344" width="10.5703125" style="789" bestFit="1" customWidth="1"/>
    <col min="14345" max="14345" width="9.140625" style="789"/>
    <col min="14346" max="14346" width="12.140625" style="789" customWidth="1"/>
    <col min="14347" max="14588" width="9.140625" style="789"/>
    <col min="14589" max="14589" width="4" style="789" customWidth="1"/>
    <col min="14590" max="14590" width="10.5703125" style="789" customWidth="1"/>
    <col min="14591" max="14591" width="11.140625" style="789" customWidth="1"/>
    <col min="14592" max="14592" width="8.7109375" style="789" customWidth="1"/>
    <col min="14593" max="14593" width="8" style="789" customWidth="1"/>
    <col min="14594" max="14594" width="10.28515625" style="789" customWidth="1"/>
    <col min="14595" max="14595" width="7.140625" style="789" customWidth="1"/>
    <col min="14596" max="14596" width="6.85546875" style="789" customWidth="1"/>
    <col min="14597" max="14597" width="11.7109375" style="789" customWidth="1"/>
    <col min="14598" max="14598" width="11.5703125" style="789" customWidth="1"/>
    <col min="14599" max="14599" width="9.140625" style="789"/>
    <col min="14600" max="14600" width="10.5703125" style="789" bestFit="1" customWidth="1"/>
    <col min="14601" max="14601" width="9.140625" style="789"/>
    <col min="14602" max="14602" width="12.140625" style="789" customWidth="1"/>
    <col min="14603" max="14844" width="9.140625" style="789"/>
    <col min="14845" max="14845" width="4" style="789" customWidth="1"/>
    <col min="14846" max="14846" width="10.5703125" style="789" customWidth="1"/>
    <col min="14847" max="14847" width="11.140625" style="789" customWidth="1"/>
    <col min="14848" max="14848" width="8.7109375" style="789" customWidth="1"/>
    <col min="14849" max="14849" width="8" style="789" customWidth="1"/>
    <col min="14850" max="14850" width="10.28515625" style="789" customWidth="1"/>
    <col min="14851" max="14851" width="7.140625" style="789" customWidth="1"/>
    <col min="14852" max="14852" width="6.85546875" style="789" customWidth="1"/>
    <col min="14853" max="14853" width="11.7109375" style="789" customWidth="1"/>
    <col min="14854" max="14854" width="11.5703125" style="789" customWidth="1"/>
    <col min="14855" max="14855" width="9.140625" style="789"/>
    <col min="14856" max="14856" width="10.5703125" style="789" bestFit="1" customWidth="1"/>
    <col min="14857" max="14857" width="9.140625" style="789"/>
    <col min="14858" max="14858" width="12.140625" style="789" customWidth="1"/>
    <col min="14859" max="15100" width="9.140625" style="789"/>
    <col min="15101" max="15101" width="4" style="789" customWidth="1"/>
    <col min="15102" max="15102" width="10.5703125" style="789" customWidth="1"/>
    <col min="15103" max="15103" width="11.140625" style="789" customWidth="1"/>
    <col min="15104" max="15104" width="8.7109375" style="789" customWidth="1"/>
    <col min="15105" max="15105" width="8" style="789" customWidth="1"/>
    <col min="15106" max="15106" width="10.28515625" style="789" customWidth="1"/>
    <col min="15107" max="15107" width="7.140625" style="789" customWidth="1"/>
    <col min="15108" max="15108" width="6.85546875" style="789" customWidth="1"/>
    <col min="15109" max="15109" width="11.7109375" style="789" customWidth="1"/>
    <col min="15110" max="15110" width="11.5703125" style="789" customWidth="1"/>
    <col min="15111" max="15111" width="9.140625" style="789"/>
    <col min="15112" max="15112" width="10.5703125" style="789" bestFit="1" customWidth="1"/>
    <col min="15113" max="15113" width="9.140625" style="789"/>
    <col min="15114" max="15114" width="12.140625" style="789" customWidth="1"/>
    <col min="15115" max="15356" width="9.140625" style="789"/>
    <col min="15357" max="15357" width="4" style="789" customWidth="1"/>
    <col min="15358" max="15358" width="10.5703125" style="789" customWidth="1"/>
    <col min="15359" max="15359" width="11.140625" style="789" customWidth="1"/>
    <col min="15360" max="15360" width="8.7109375" style="789" customWidth="1"/>
    <col min="15361" max="15361" width="8" style="789" customWidth="1"/>
    <col min="15362" max="15362" width="10.28515625" style="789" customWidth="1"/>
    <col min="15363" max="15363" width="7.140625" style="789" customWidth="1"/>
    <col min="15364" max="15364" width="6.85546875" style="789" customWidth="1"/>
    <col min="15365" max="15365" width="11.7109375" style="789" customWidth="1"/>
    <col min="15366" max="15366" width="11.5703125" style="789" customWidth="1"/>
    <col min="15367" max="15367" width="9.140625" style="789"/>
    <col min="15368" max="15368" width="10.5703125" style="789" bestFit="1" customWidth="1"/>
    <col min="15369" max="15369" width="9.140625" style="789"/>
    <col min="15370" max="15370" width="12.140625" style="789" customWidth="1"/>
    <col min="15371" max="15612" width="9.140625" style="789"/>
    <col min="15613" max="15613" width="4" style="789" customWidth="1"/>
    <col min="15614" max="15614" width="10.5703125" style="789" customWidth="1"/>
    <col min="15615" max="15615" width="11.140625" style="789" customWidth="1"/>
    <col min="15616" max="15616" width="8.7109375" style="789" customWidth="1"/>
    <col min="15617" max="15617" width="8" style="789" customWidth="1"/>
    <col min="15618" max="15618" width="10.28515625" style="789" customWidth="1"/>
    <col min="15619" max="15619" width="7.140625" style="789" customWidth="1"/>
    <col min="15620" max="15620" width="6.85546875" style="789" customWidth="1"/>
    <col min="15621" max="15621" width="11.7109375" style="789" customWidth="1"/>
    <col min="15622" max="15622" width="11.5703125" style="789" customWidth="1"/>
    <col min="15623" max="15623" width="9.140625" style="789"/>
    <col min="15624" max="15624" width="10.5703125" style="789" bestFit="1" customWidth="1"/>
    <col min="15625" max="15625" width="9.140625" style="789"/>
    <col min="15626" max="15626" width="12.140625" style="789" customWidth="1"/>
    <col min="15627" max="15868" width="9.140625" style="789"/>
    <col min="15869" max="15869" width="4" style="789" customWidth="1"/>
    <col min="15870" max="15870" width="10.5703125" style="789" customWidth="1"/>
    <col min="15871" max="15871" width="11.140625" style="789" customWidth="1"/>
    <col min="15872" max="15872" width="8.7109375" style="789" customWidth="1"/>
    <col min="15873" max="15873" width="8" style="789" customWidth="1"/>
    <col min="15874" max="15874" width="10.28515625" style="789" customWidth="1"/>
    <col min="15875" max="15875" width="7.140625" style="789" customWidth="1"/>
    <col min="15876" max="15876" width="6.85546875" style="789" customWidth="1"/>
    <col min="15877" max="15877" width="11.7109375" style="789" customWidth="1"/>
    <col min="15878" max="15878" width="11.5703125" style="789" customWidth="1"/>
    <col min="15879" max="15879" width="9.140625" style="789"/>
    <col min="15880" max="15880" width="10.5703125" style="789" bestFit="1" customWidth="1"/>
    <col min="15881" max="15881" width="9.140625" style="789"/>
    <col min="15882" max="15882" width="12.140625" style="789" customWidth="1"/>
    <col min="15883" max="16124" width="9.140625" style="789"/>
    <col min="16125" max="16125" width="4" style="789" customWidth="1"/>
    <col min="16126" max="16126" width="10.5703125" style="789" customWidth="1"/>
    <col min="16127" max="16127" width="11.140625" style="789" customWidth="1"/>
    <col min="16128" max="16128" width="8.7109375" style="789" customWidth="1"/>
    <col min="16129" max="16129" width="8" style="789" customWidth="1"/>
    <col min="16130" max="16130" width="10.28515625" style="789" customWidth="1"/>
    <col min="16131" max="16131" width="7.140625" style="789" customWidth="1"/>
    <col min="16132" max="16132" width="6.85546875" style="789" customWidth="1"/>
    <col min="16133" max="16133" width="11.7109375" style="789" customWidth="1"/>
    <col min="16134" max="16134" width="11.5703125" style="789" customWidth="1"/>
    <col min="16135" max="16135" width="9.140625" style="789"/>
    <col min="16136" max="16136" width="10.5703125" style="789" bestFit="1" customWidth="1"/>
    <col min="16137" max="16137" width="9.140625" style="789"/>
    <col min="16138" max="16138" width="12.140625" style="789" customWidth="1"/>
    <col min="16139" max="16384" width="9.140625" style="789"/>
  </cols>
  <sheetData>
    <row r="1" spans="1:16" ht="15" customHeight="1" x14ac:dyDescent="0.25">
      <c r="A1" s="1142" t="s">
        <v>174</v>
      </c>
      <c r="B1" s="1142"/>
      <c r="C1" s="1142"/>
      <c r="D1" s="1142"/>
      <c r="E1" s="1142"/>
      <c r="F1" s="1142"/>
      <c r="G1" s="1142"/>
      <c r="H1" s="1142"/>
    </row>
    <row r="3" spans="1:16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</row>
    <row r="4" spans="1:16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</row>
    <row r="5" spans="1:16" ht="15" customHeight="1" x14ac:dyDescent="0.25">
      <c r="A5" s="735"/>
      <c r="B5" s="735"/>
      <c r="C5" s="735"/>
      <c r="D5" s="735"/>
      <c r="E5" s="735"/>
      <c r="F5" s="735"/>
      <c r="G5" s="735"/>
      <c r="H5" s="202"/>
    </row>
    <row r="6" spans="1:16" ht="15" customHeight="1" x14ac:dyDescent="0.25">
      <c r="A6" s="1201" t="s">
        <v>840</v>
      </c>
      <c r="B6" s="1201"/>
      <c r="C6" s="1201"/>
      <c r="D6" s="1201"/>
      <c r="E6" s="1201"/>
      <c r="F6" s="1201"/>
      <c r="G6" s="1201"/>
      <c r="H6" s="1201"/>
      <c r="J6" s="820"/>
      <c r="K6" s="820"/>
      <c r="L6" s="820"/>
      <c r="M6" s="820"/>
      <c r="N6" s="820"/>
      <c r="O6" s="820"/>
      <c r="P6" s="820"/>
    </row>
    <row r="7" spans="1:16" x14ac:dyDescent="0.25">
      <c r="A7" s="1155" t="s">
        <v>510</v>
      </c>
      <c r="B7" s="1155"/>
      <c r="C7" s="1155"/>
      <c r="D7" s="1155"/>
      <c r="E7" s="1155"/>
      <c r="F7" s="1155"/>
      <c r="G7" s="1155"/>
      <c r="H7" s="1155"/>
    </row>
    <row r="8" spans="1:16" ht="24" customHeight="1" x14ac:dyDescent="0.25">
      <c r="A8" s="733" t="s">
        <v>258</v>
      </c>
      <c r="B8" s="736" t="s">
        <v>492</v>
      </c>
      <c r="C8" s="731" t="s">
        <v>343</v>
      </c>
      <c r="D8" s="736" t="s">
        <v>389</v>
      </c>
      <c r="E8" s="736" t="s">
        <v>511</v>
      </c>
      <c r="F8" s="733" t="s">
        <v>512</v>
      </c>
      <c r="G8" s="764" t="s">
        <v>467</v>
      </c>
      <c r="H8" s="733" t="s">
        <v>402</v>
      </c>
    </row>
    <row r="9" spans="1:16" x14ac:dyDescent="0.25">
      <c r="A9" s="728">
        <v>1</v>
      </c>
      <c r="B9" s="740">
        <v>2</v>
      </c>
      <c r="C9" s="728">
        <v>3</v>
      </c>
      <c r="D9" s="740">
        <v>4</v>
      </c>
      <c r="E9" s="740">
        <v>5</v>
      </c>
      <c r="F9" s="728">
        <v>6</v>
      </c>
      <c r="G9" s="765">
        <v>7</v>
      </c>
      <c r="H9" s="728">
        <v>8</v>
      </c>
    </row>
    <row r="10" spans="1:16" ht="55.5" customHeight="1" x14ac:dyDescent="0.25">
      <c r="A10" s="728">
        <v>1</v>
      </c>
      <c r="B10" s="761" t="s">
        <v>514</v>
      </c>
      <c r="C10" s="733">
        <v>225</v>
      </c>
      <c r="D10" s="303" t="s">
        <v>358</v>
      </c>
      <c r="E10" s="767" t="s">
        <v>513</v>
      </c>
      <c r="F10" s="759">
        <f>3658900+1604700</f>
        <v>5263600</v>
      </c>
      <c r="G10" s="292">
        <f>F10</f>
        <v>5263600</v>
      </c>
      <c r="H10" s="304">
        <f>ROUND(G10/1000,1)</f>
        <v>5263.6</v>
      </c>
    </row>
    <row r="11" spans="1:16" x14ac:dyDescent="0.25">
      <c r="A11" s="1146" t="s">
        <v>448</v>
      </c>
      <c r="B11" s="1147"/>
      <c r="C11" s="1147"/>
      <c r="D11" s="1147"/>
      <c r="E11" s="1147"/>
      <c r="F11" s="1252"/>
      <c r="G11" s="826">
        <f>SUM(G10:G10)</f>
        <v>5263600</v>
      </c>
      <c r="H11" s="305">
        <f>SUM(H10:H10)</f>
        <v>5263.6</v>
      </c>
    </row>
    <row r="13" spans="1:16" x14ac:dyDescent="0.25">
      <c r="A13" s="1201" t="s">
        <v>841</v>
      </c>
      <c r="B13" s="1201"/>
      <c r="C13" s="1201"/>
      <c r="D13" s="1201"/>
      <c r="E13" s="1201"/>
      <c r="F13" s="1201"/>
      <c r="G13" s="1201"/>
      <c r="H13" s="1201"/>
    </row>
    <row r="14" spans="1:16" x14ac:dyDescent="0.25">
      <c r="A14" s="1155" t="s">
        <v>510</v>
      </c>
      <c r="B14" s="1155"/>
      <c r="C14" s="1155"/>
      <c r="D14" s="1155"/>
      <c r="E14" s="1155"/>
      <c r="F14" s="1155"/>
      <c r="G14" s="1155"/>
      <c r="H14" s="1155"/>
    </row>
    <row r="15" spans="1:16" ht="24" customHeight="1" x14ac:dyDescent="0.25">
      <c r="A15" s="733" t="s">
        <v>258</v>
      </c>
      <c r="B15" s="736" t="s">
        <v>492</v>
      </c>
      <c r="C15" s="731" t="s">
        <v>343</v>
      </c>
      <c r="D15" s="736" t="s">
        <v>389</v>
      </c>
      <c r="E15" s="736" t="s">
        <v>511</v>
      </c>
      <c r="F15" s="733" t="s">
        <v>515</v>
      </c>
      <c r="G15" s="764" t="s">
        <v>467</v>
      </c>
      <c r="H15" s="733" t="s">
        <v>402</v>
      </c>
    </row>
    <row r="16" spans="1:16" x14ac:dyDescent="0.25">
      <c r="A16" s="728">
        <v>1</v>
      </c>
      <c r="B16" s="740">
        <v>2</v>
      </c>
      <c r="C16" s="728">
        <v>3</v>
      </c>
      <c r="D16" s="740">
        <v>4</v>
      </c>
      <c r="E16" s="740">
        <v>5</v>
      </c>
      <c r="F16" s="728">
        <v>6</v>
      </c>
      <c r="G16" s="765">
        <v>7</v>
      </c>
      <c r="H16" s="728">
        <v>8</v>
      </c>
    </row>
    <row r="17" spans="1:13" ht="30" customHeight="1" x14ac:dyDescent="0.25">
      <c r="A17" s="728">
        <v>1</v>
      </c>
      <c r="B17" s="761" t="s">
        <v>517</v>
      </c>
      <c r="C17" s="733">
        <v>225</v>
      </c>
      <c r="D17" s="303" t="s">
        <v>358</v>
      </c>
      <c r="E17" s="767" t="s">
        <v>513</v>
      </c>
      <c r="F17" s="759">
        <f>SUM(F18:F21)</f>
        <v>1969858.2999999998</v>
      </c>
      <c r="G17" s="419">
        <f>F17</f>
        <v>1969858.2999999998</v>
      </c>
      <c r="H17" s="420">
        <f>SUM(H18:H21)</f>
        <v>1969.8000000000002</v>
      </c>
      <c r="J17" s="641"/>
    </row>
    <row r="18" spans="1:13" ht="90" x14ac:dyDescent="0.25">
      <c r="A18" s="728"/>
      <c r="B18" s="763" t="s">
        <v>18</v>
      </c>
      <c r="C18" s="733"/>
      <c r="D18" s="303"/>
      <c r="E18" s="767"/>
      <c r="F18" s="759">
        <f>899725.2+6400</f>
        <v>906125.2</v>
      </c>
      <c r="G18" s="292">
        <f>F18</f>
        <v>906125.2</v>
      </c>
      <c r="H18" s="304">
        <f t="shared" ref="H18:H21" si="0">ROUND(G18/1000,1)</f>
        <v>906.1</v>
      </c>
      <c r="J18" s="642"/>
    </row>
    <row r="19" spans="1:13" ht="112.5" x14ac:dyDescent="0.25">
      <c r="A19" s="728"/>
      <c r="B19" s="763" t="s">
        <v>20</v>
      </c>
      <c r="C19" s="733"/>
      <c r="D19" s="303"/>
      <c r="E19" s="767"/>
      <c r="F19" s="759">
        <v>4634.3500000000004</v>
      </c>
      <c r="G19" s="292">
        <f t="shared" ref="G19:G21" si="1">F19</f>
        <v>4634.3500000000004</v>
      </c>
      <c r="H19" s="304">
        <f>ROUND(G19/1000,1)</f>
        <v>4.5999999999999996</v>
      </c>
      <c r="I19" s="527"/>
      <c r="J19" s="642"/>
    </row>
    <row r="20" spans="1:13" ht="90" x14ac:dyDescent="0.25">
      <c r="A20" s="728"/>
      <c r="B20" s="763" t="s">
        <v>22</v>
      </c>
      <c r="C20" s="733"/>
      <c r="D20" s="303"/>
      <c r="E20" s="767"/>
      <c r="F20" s="759">
        <v>1175210.1299999999</v>
      </c>
      <c r="G20" s="292">
        <f t="shared" si="1"/>
        <v>1175210.1299999999</v>
      </c>
      <c r="H20" s="304">
        <f t="shared" si="0"/>
        <v>1175.2</v>
      </c>
      <c r="J20" s="642"/>
    </row>
    <row r="21" spans="1:13" ht="90" x14ac:dyDescent="0.25">
      <c r="A21" s="728"/>
      <c r="B21" s="763" t="s">
        <v>23</v>
      </c>
      <c r="C21" s="733"/>
      <c r="D21" s="303"/>
      <c r="E21" s="767"/>
      <c r="F21" s="759">
        <v>-116111.38</v>
      </c>
      <c r="G21" s="292">
        <f t="shared" si="1"/>
        <v>-116111.38</v>
      </c>
      <c r="H21" s="304">
        <f t="shared" si="0"/>
        <v>-116.1</v>
      </c>
      <c r="J21" s="642"/>
    </row>
    <row r="22" spans="1:13" ht="30" customHeight="1" x14ac:dyDescent="0.25">
      <c r="A22" s="728">
        <v>2</v>
      </c>
      <c r="B22" s="761" t="s">
        <v>516</v>
      </c>
      <c r="C22" s="733">
        <v>225</v>
      </c>
      <c r="D22" s="303" t="s">
        <v>358</v>
      </c>
      <c r="E22" s="767" t="s">
        <v>513</v>
      </c>
      <c r="F22" s="759">
        <v>2622913.7599999998</v>
      </c>
      <c r="G22" s="419">
        <f>F22</f>
        <v>2622913.7599999998</v>
      </c>
      <c r="H22" s="420">
        <f>ROUND(G22/1000,1)</f>
        <v>2622.9</v>
      </c>
      <c r="K22" s="786"/>
      <c r="L22" s="926"/>
      <c r="M22" s="926"/>
    </row>
    <row r="23" spans="1:13" x14ac:dyDescent="0.25">
      <c r="A23" s="1146" t="s">
        <v>448</v>
      </c>
      <c r="B23" s="1147"/>
      <c r="C23" s="1147"/>
      <c r="D23" s="1147"/>
      <c r="E23" s="1147"/>
      <c r="F23" s="1252"/>
      <c r="G23" s="826">
        <f>G17+G22</f>
        <v>4592772.0599999996</v>
      </c>
      <c r="H23" s="305">
        <f>H17+H22</f>
        <v>4592.7000000000007</v>
      </c>
      <c r="K23" s="811"/>
    </row>
    <row r="24" spans="1:13" x14ac:dyDescent="0.25">
      <c r="K24" s="811"/>
    </row>
    <row r="25" spans="1:13" x14ac:dyDescent="0.25">
      <c r="K25" s="920"/>
    </row>
    <row r="26" spans="1:13" x14ac:dyDescent="0.25">
      <c r="A26" s="1150" t="s">
        <v>397</v>
      </c>
      <c r="B26" s="1150"/>
      <c r="D26" s="1151"/>
      <c r="E26" s="1151"/>
      <c r="G26" s="1151" t="str">
        <f>рВДЛ!G32</f>
        <v>М.В. Златова</v>
      </c>
      <c r="H26" s="1151"/>
    </row>
    <row r="27" spans="1:13" x14ac:dyDescent="0.25">
      <c r="A27" s="1148" t="s">
        <v>329</v>
      </c>
      <c r="B27" s="1148"/>
      <c r="D27" s="1148" t="s">
        <v>330</v>
      </c>
      <c r="E27" s="1148"/>
      <c r="G27" s="1149" t="s">
        <v>331</v>
      </c>
      <c r="H27" s="1149"/>
      <c r="K27" s="811"/>
    </row>
    <row r="28" spans="1:13" x14ac:dyDescent="0.25">
      <c r="A28" s="1150" t="str">
        <f>рВДЛ!A34</f>
        <v>Исполнитель: финансист</v>
      </c>
      <c r="B28" s="1150"/>
      <c r="D28" s="1151"/>
      <c r="E28" s="1151"/>
      <c r="G28" s="1151" t="str">
        <f>рВДЛ!G34</f>
        <v>Е.Н. Рыбалка</v>
      </c>
      <c r="H28" s="1151"/>
    </row>
    <row r="29" spans="1:13" x14ac:dyDescent="0.25">
      <c r="A29" s="1148" t="s">
        <v>329</v>
      </c>
      <c r="B29" s="1148"/>
      <c r="D29" s="1148" t="s">
        <v>330</v>
      </c>
      <c r="E29" s="1148"/>
      <c r="G29" s="1149" t="s">
        <v>331</v>
      </c>
      <c r="H29" s="1149"/>
    </row>
    <row r="33" spans="7:8" x14ac:dyDescent="0.25">
      <c r="G33" s="811"/>
    </row>
    <row r="36" spans="7:8" x14ac:dyDescent="0.25">
      <c r="G36" s="301"/>
      <c r="H36" s="302"/>
    </row>
  </sheetData>
  <mergeCells count="21">
    <mergeCell ref="A29:B29"/>
    <mergeCell ref="D29:E29"/>
    <mergeCell ref="G29:H29"/>
    <mergeCell ref="A26:B26"/>
    <mergeCell ref="A28:B28"/>
    <mergeCell ref="D28:E28"/>
    <mergeCell ref="D26:E26"/>
    <mergeCell ref="G26:H26"/>
    <mergeCell ref="A27:B27"/>
    <mergeCell ref="D27:E27"/>
    <mergeCell ref="G27:H27"/>
    <mergeCell ref="A14:H14"/>
    <mergeCell ref="A6:H6"/>
    <mergeCell ref="A13:H13"/>
    <mergeCell ref="A23:F23"/>
    <mergeCell ref="G28:H28"/>
    <mergeCell ref="A1:H1"/>
    <mergeCell ref="A7:H7"/>
    <mergeCell ref="A4:H4"/>
    <mergeCell ref="A3:H3"/>
    <mergeCell ref="A11:F11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6"/>
  <sheetViews>
    <sheetView workbookViewId="0">
      <selection activeCell="C8" sqref="C8"/>
    </sheetView>
  </sheetViews>
  <sheetFormatPr defaultRowHeight="12.75" x14ac:dyDescent="0.2"/>
  <cols>
    <col min="1" max="1" width="31.140625" style="1" customWidth="1"/>
    <col min="2" max="2" width="24.7109375" style="1" customWidth="1"/>
    <col min="3" max="3" width="12.5703125" style="1" customWidth="1"/>
    <col min="4" max="4" width="11" style="1" customWidth="1"/>
    <col min="5" max="5" width="11.28515625" style="1" customWidth="1"/>
    <col min="6" max="8" width="8.28515625" style="1" customWidth="1"/>
    <col min="9" max="9" width="27.140625" style="1" customWidth="1"/>
    <col min="10" max="10" width="10.85546875" style="1" customWidth="1"/>
    <col min="11" max="11" width="36.7109375" style="1" customWidth="1"/>
    <col min="12" max="12" width="10.85546875" style="1" customWidth="1"/>
    <col min="13" max="255" width="9.140625" style="1"/>
    <col min="256" max="256" width="31.140625" style="1" customWidth="1"/>
    <col min="257" max="257" width="24.7109375" style="1" customWidth="1"/>
    <col min="258" max="258" width="12.5703125" style="1" customWidth="1"/>
    <col min="259" max="259" width="11" style="1" customWidth="1"/>
    <col min="260" max="260" width="11.28515625" style="1" customWidth="1"/>
    <col min="261" max="261" width="9.140625" style="1"/>
    <col min="262" max="262" width="10.85546875" style="1" bestFit="1" customWidth="1"/>
    <col min="263" max="263" width="6.7109375" style="1" customWidth="1"/>
    <col min="264" max="264" width="24.7109375" style="1" customWidth="1"/>
    <col min="265" max="265" width="28.5703125" style="1" customWidth="1"/>
    <col min="266" max="266" width="11.140625" style="1" customWidth="1"/>
    <col min="267" max="267" width="36.7109375" style="1" customWidth="1"/>
    <col min="268" max="511" width="9.140625" style="1"/>
    <col min="512" max="512" width="31.140625" style="1" customWidth="1"/>
    <col min="513" max="513" width="24.7109375" style="1" customWidth="1"/>
    <col min="514" max="514" width="12.5703125" style="1" customWidth="1"/>
    <col min="515" max="515" width="11" style="1" customWidth="1"/>
    <col min="516" max="516" width="11.28515625" style="1" customWidth="1"/>
    <col min="517" max="517" width="9.140625" style="1"/>
    <col min="518" max="518" width="10.85546875" style="1" bestFit="1" customWidth="1"/>
    <col min="519" max="519" width="6.7109375" style="1" customWidth="1"/>
    <col min="520" max="520" width="24.7109375" style="1" customWidth="1"/>
    <col min="521" max="521" width="28.5703125" style="1" customWidth="1"/>
    <col min="522" max="522" width="11.140625" style="1" customWidth="1"/>
    <col min="523" max="523" width="36.7109375" style="1" customWidth="1"/>
    <col min="524" max="767" width="9.140625" style="1"/>
    <col min="768" max="768" width="31.140625" style="1" customWidth="1"/>
    <col min="769" max="769" width="24.7109375" style="1" customWidth="1"/>
    <col min="770" max="770" width="12.5703125" style="1" customWidth="1"/>
    <col min="771" max="771" width="11" style="1" customWidth="1"/>
    <col min="772" max="772" width="11.28515625" style="1" customWidth="1"/>
    <col min="773" max="773" width="9.140625" style="1"/>
    <col min="774" max="774" width="10.85546875" style="1" bestFit="1" customWidth="1"/>
    <col min="775" max="775" width="6.7109375" style="1" customWidth="1"/>
    <col min="776" max="776" width="24.7109375" style="1" customWidth="1"/>
    <col min="777" max="777" width="28.5703125" style="1" customWidth="1"/>
    <col min="778" max="778" width="11.140625" style="1" customWidth="1"/>
    <col min="779" max="779" width="36.7109375" style="1" customWidth="1"/>
    <col min="780" max="1023" width="9.140625" style="1"/>
    <col min="1024" max="1024" width="31.140625" style="1" customWidth="1"/>
    <col min="1025" max="1025" width="24.7109375" style="1" customWidth="1"/>
    <col min="1026" max="1026" width="12.5703125" style="1" customWidth="1"/>
    <col min="1027" max="1027" width="11" style="1" customWidth="1"/>
    <col min="1028" max="1028" width="11.28515625" style="1" customWidth="1"/>
    <col min="1029" max="1029" width="9.140625" style="1"/>
    <col min="1030" max="1030" width="10.85546875" style="1" bestFit="1" customWidth="1"/>
    <col min="1031" max="1031" width="6.7109375" style="1" customWidth="1"/>
    <col min="1032" max="1032" width="24.7109375" style="1" customWidth="1"/>
    <col min="1033" max="1033" width="28.5703125" style="1" customWidth="1"/>
    <col min="1034" max="1034" width="11.140625" style="1" customWidth="1"/>
    <col min="1035" max="1035" width="36.7109375" style="1" customWidth="1"/>
    <col min="1036" max="1279" width="9.140625" style="1"/>
    <col min="1280" max="1280" width="31.140625" style="1" customWidth="1"/>
    <col min="1281" max="1281" width="24.7109375" style="1" customWidth="1"/>
    <col min="1282" max="1282" width="12.5703125" style="1" customWidth="1"/>
    <col min="1283" max="1283" width="11" style="1" customWidth="1"/>
    <col min="1284" max="1284" width="11.28515625" style="1" customWidth="1"/>
    <col min="1285" max="1285" width="9.140625" style="1"/>
    <col min="1286" max="1286" width="10.85546875" style="1" bestFit="1" customWidth="1"/>
    <col min="1287" max="1287" width="6.7109375" style="1" customWidth="1"/>
    <col min="1288" max="1288" width="24.7109375" style="1" customWidth="1"/>
    <col min="1289" max="1289" width="28.5703125" style="1" customWidth="1"/>
    <col min="1290" max="1290" width="11.140625" style="1" customWidth="1"/>
    <col min="1291" max="1291" width="36.7109375" style="1" customWidth="1"/>
    <col min="1292" max="1535" width="9.140625" style="1"/>
    <col min="1536" max="1536" width="31.140625" style="1" customWidth="1"/>
    <col min="1537" max="1537" width="24.7109375" style="1" customWidth="1"/>
    <col min="1538" max="1538" width="12.5703125" style="1" customWidth="1"/>
    <col min="1539" max="1539" width="11" style="1" customWidth="1"/>
    <col min="1540" max="1540" width="11.28515625" style="1" customWidth="1"/>
    <col min="1541" max="1541" width="9.140625" style="1"/>
    <col min="1542" max="1542" width="10.85546875" style="1" bestFit="1" customWidth="1"/>
    <col min="1543" max="1543" width="6.7109375" style="1" customWidth="1"/>
    <col min="1544" max="1544" width="24.7109375" style="1" customWidth="1"/>
    <col min="1545" max="1545" width="28.5703125" style="1" customWidth="1"/>
    <col min="1546" max="1546" width="11.140625" style="1" customWidth="1"/>
    <col min="1547" max="1547" width="36.7109375" style="1" customWidth="1"/>
    <col min="1548" max="1791" width="9.140625" style="1"/>
    <col min="1792" max="1792" width="31.140625" style="1" customWidth="1"/>
    <col min="1793" max="1793" width="24.7109375" style="1" customWidth="1"/>
    <col min="1794" max="1794" width="12.5703125" style="1" customWidth="1"/>
    <col min="1795" max="1795" width="11" style="1" customWidth="1"/>
    <col min="1796" max="1796" width="11.28515625" style="1" customWidth="1"/>
    <col min="1797" max="1797" width="9.140625" style="1"/>
    <col min="1798" max="1798" width="10.85546875" style="1" bestFit="1" customWidth="1"/>
    <col min="1799" max="1799" width="6.7109375" style="1" customWidth="1"/>
    <col min="1800" max="1800" width="24.7109375" style="1" customWidth="1"/>
    <col min="1801" max="1801" width="28.5703125" style="1" customWidth="1"/>
    <col min="1802" max="1802" width="11.140625" style="1" customWidth="1"/>
    <col min="1803" max="1803" width="36.7109375" style="1" customWidth="1"/>
    <col min="1804" max="2047" width="9.140625" style="1"/>
    <col min="2048" max="2048" width="31.140625" style="1" customWidth="1"/>
    <col min="2049" max="2049" width="24.7109375" style="1" customWidth="1"/>
    <col min="2050" max="2050" width="12.5703125" style="1" customWidth="1"/>
    <col min="2051" max="2051" width="11" style="1" customWidth="1"/>
    <col min="2052" max="2052" width="11.28515625" style="1" customWidth="1"/>
    <col min="2053" max="2053" width="9.140625" style="1"/>
    <col min="2054" max="2054" width="10.85546875" style="1" bestFit="1" customWidth="1"/>
    <col min="2055" max="2055" width="6.7109375" style="1" customWidth="1"/>
    <col min="2056" max="2056" width="24.7109375" style="1" customWidth="1"/>
    <col min="2057" max="2057" width="28.5703125" style="1" customWidth="1"/>
    <col min="2058" max="2058" width="11.140625" style="1" customWidth="1"/>
    <col min="2059" max="2059" width="36.7109375" style="1" customWidth="1"/>
    <col min="2060" max="2303" width="9.140625" style="1"/>
    <col min="2304" max="2304" width="31.140625" style="1" customWidth="1"/>
    <col min="2305" max="2305" width="24.7109375" style="1" customWidth="1"/>
    <col min="2306" max="2306" width="12.5703125" style="1" customWidth="1"/>
    <col min="2307" max="2307" width="11" style="1" customWidth="1"/>
    <col min="2308" max="2308" width="11.28515625" style="1" customWidth="1"/>
    <col min="2309" max="2309" width="9.140625" style="1"/>
    <col min="2310" max="2310" width="10.85546875" style="1" bestFit="1" customWidth="1"/>
    <col min="2311" max="2311" width="6.7109375" style="1" customWidth="1"/>
    <col min="2312" max="2312" width="24.7109375" style="1" customWidth="1"/>
    <col min="2313" max="2313" width="28.5703125" style="1" customWidth="1"/>
    <col min="2314" max="2314" width="11.140625" style="1" customWidth="1"/>
    <col min="2315" max="2315" width="36.7109375" style="1" customWidth="1"/>
    <col min="2316" max="2559" width="9.140625" style="1"/>
    <col min="2560" max="2560" width="31.140625" style="1" customWidth="1"/>
    <col min="2561" max="2561" width="24.7109375" style="1" customWidth="1"/>
    <col min="2562" max="2562" width="12.5703125" style="1" customWidth="1"/>
    <col min="2563" max="2563" width="11" style="1" customWidth="1"/>
    <col min="2564" max="2564" width="11.28515625" style="1" customWidth="1"/>
    <col min="2565" max="2565" width="9.140625" style="1"/>
    <col min="2566" max="2566" width="10.85546875" style="1" bestFit="1" customWidth="1"/>
    <col min="2567" max="2567" width="6.7109375" style="1" customWidth="1"/>
    <col min="2568" max="2568" width="24.7109375" style="1" customWidth="1"/>
    <col min="2569" max="2569" width="28.5703125" style="1" customWidth="1"/>
    <col min="2570" max="2570" width="11.140625" style="1" customWidth="1"/>
    <col min="2571" max="2571" width="36.7109375" style="1" customWidth="1"/>
    <col min="2572" max="2815" width="9.140625" style="1"/>
    <col min="2816" max="2816" width="31.140625" style="1" customWidth="1"/>
    <col min="2817" max="2817" width="24.7109375" style="1" customWidth="1"/>
    <col min="2818" max="2818" width="12.5703125" style="1" customWidth="1"/>
    <col min="2819" max="2819" width="11" style="1" customWidth="1"/>
    <col min="2820" max="2820" width="11.28515625" style="1" customWidth="1"/>
    <col min="2821" max="2821" width="9.140625" style="1"/>
    <col min="2822" max="2822" width="10.85546875" style="1" bestFit="1" customWidth="1"/>
    <col min="2823" max="2823" width="6.7109375" style="1" customWidth="1"/>
    <col min="2824" max="2824" width="24.7109375" style="1" customWidth="1"/>
    <col min="2825" max="2825" width="28.5703125" style="1" customWidth="1"/>
    <col min="2826" max="2826" width="11.140625" style="1" customWidth="1"/>
    <col min="2827" max="2827" width="36.7109375" style="1" customWidth="1"/>
    <col min="2828" max="3071" width="9.140625" style="1"/>
    <col min="3072" max="3072" width="31.140625" style="1" customWidth="1"/>
    <col min="3073" max="3073" width="24.7109375" style="1" customWidth="1"/>
    <col min="3074" max="3074" width="12.5703125" style="1" customWidth="1"/>
    <col min="3075" max="3075" width="11" style="1" customWidth="1"/>
    <col min="3076" max="3076" width="11.28515625" style="1" customWidth="1"/>
    <col min="3077" max="3077" width="9.140625" style="1"/>
    <col min="3078" max="3078" width="10.85546875" style="1" bestFit="1" customWidth="1"/>
    <col min="3079" max="3079" width="6.7109375" style="1" customWidth="1"/>
    <col min="3080" max="3080" width="24.7109375" style="1" customWidth="1"/>
    <col min="3081" max="3081" width="28.5703125" style="1" customWidth="1"/>
    <col min="3082" max="3082" width="11.140625" style="1" customWidth="1"/>
    <col min="3083" max="3083" width="36.7109375" style="1" customWidth="1"/>
    <col min="3084" max="3327" width="9.140625" style="1"/>
    <col min="3328" max="3328" width="31.140625" style="1" customWidth="1"/>
    <col min="3329" max="3329" width="24.7109375" style="1" customWidth="1"/>
    <col min="3330" max="3330" width="12.5703125" style="1" customWidth="1"/>
    <col min="3331" max="3331" width="11" style="1" customWidth="1"/>
    <col min="3332" max="3332" width="11.28515625" style="1" customWidth="1"/>
    <col min="3333" max="3333" width="9.140625" style="1"/>
    <col min="3334" max="3334" width="10.85546875" style="1" bestFit="1" customWidth="1"/>
    <col min="3335" max="3335" width="6.7109375" style="1" customWidth="1"/>
    <col min="3336" max="3336" width="24.7109375" style="1" customWidth="1"/>
    <col min="3337" max="3337" width="28.5703125" style="1" customWidth="1"/>
    <col min="3338" max="3338" width="11.140625" style="1" customWidth="1"/>
    <col min="3339" max="3339" width="36.7109375" style="1" customWidth="1"/>
    <col min="3340" max="3583" width="9.140625" style="1"/>
    <col min="3584" max="3584" width="31.140625" style="1" customWidth="1"/>
    <col min="3585" max="3585" width="24.7109375" style="1" customWidth="1"/>
    <col min="3586" max="3586" width="12.5703125" style="1" customWidth="1"/>
    <col min="3587" max="3587" width="11" style="1" customWidth="1"/>
    <col min="3588" max="3588" width="11.28515625" style="1" customWidth="1"/>
    <col min="3589" max="3589" width="9.140625" style="1"/>
    <col min="3590" max="3590" width="10.85546875" style="1" bestFit="1" customWidth="1"/>
    <col min="3591" max="3591" width="6.7109375" style="1" customWidth="1"/>
    <col min="3592" max="3592" width="24.7109375" style="1" customWidth="1"/>
    <col min="3593" max="3593" width="28.5703125" style="1" customWidth="1"/>
    <col min="3594" max="3594" width="11.140625" style="1" customWidth="1"/>
    <col min="3595" max="3595" width="36.7109375" style="1" customWidth="1"/>
    <col min="3596" max="3839" width="9.140625" style="1"/>
    <col min="3840" max="3840" width="31.140625" style="1" customWidth="1"/>
    <col min="3841" max="3841" width="24.7109375" style="1" customWidth="1"/>
    <col min="3842" max="3842" width="12.5703125" style="1" customWidth="1"/>
    <col min="3843" max="3843" width="11" style="1" customWidth="1"/>
    <col min="3844" max="3844" width="11.28515625" style="1" customWidth="1"/>
    <col min="3845" max="3845" width="9.140625" style="1"/>
    <col min="3846" max="3846" width="10.85546875" style="1" bestFit="1" customWidth="1"/>
    <col min="3847" max="3847" width="6.7109375" style="1" customWidth="1"/>
    <col min="3848" max="3848" width="24.7109375" style="1" customWidth="1"/>
    <col min="3849" max="3849" width="28.5703125" style="1" customWidth="1"/>
    <col min="3850" max="3850" width="11.140625" style="1" customWidth="1"/>
    <col min="3851" max="3851" width="36.7109375" style="1" customWidth="1"/>
    <col min="3852" max="4095" width="9.140625" style="1"/>
    <col min="4096" max="4096" width="31.140625" style="1" customWidth="1"/>
    <col min="4097" max="4097" width="24.7109375" style="1" customWidth="1"/>
    <col min="4098" max="4098" width="12.5703125" style="1" customWidth="1"/>
    <col min="4099" max="4099" width="11" style="1" customWidth="1"/>
    <col min="4100" max="4100" width="11.28515625" style="1" customWidth="1"/>
    <col min="4101" max="4101" width="9.140625" style="1"/>
    <col min="4102" max="4102" width="10.85546875" style="1" bestFit="1" customWidth="1"/>
    <col min="4103" max="4103" width="6.7109375" style="1" customWidth="1"/>
    <col min="4104" max="4104" width="24.7109375" style="1" customWidth="1"/>
    <col min="4105" max="4105" width="28.5703125" style="1" customWidth="1"/>
    <col min="4106" max="4106" width="11.140625" style="1" customWidth="1"/>
    <col min="4107" max="4107" width="36.7109375" style="1" customWidth="1"/>
    <col min="4108" max="4351" width="9.140625" style="1"/>
    <col min="4352" max="4352" width="31.140625" style="1" customWidth="1"/>
    <col min="4353" max="4353" width="24.7109375" style="1" customWidth="1"/>
    <col min="4354" max="4354" width="12.5703125" style="1" customWidth="1"/>
    <col min="4355" max="4355" width="11" style="1" customWidth="1"/>
    <col min="4356" max="4356" width="11.28515625" style="1" customWidth="1"/>
    <col min="4357" max="4357" width="9.140625" style="1"/>
    <col min="4358" max="4358" width="10.85546875" style="1" bestFit="1" customWidth="1"/>
    <col min="4359" max="4359" width="6.7109375" style="1" customWidth="1"/>
    <col min="4360" max="4360" width="24.7109375" style="1" customWidth="1"/>
    <col min="4361" max="4361" width="28.5703125" style="1" customWidth="1"/>
    <col min="4362" max="4362" width="11.140625" style="1" customWidth="1"/>
    <col min="4363" max="4363" width="36.7109375" style="1" customWidth="1"/>
    <col min="4364" max="4607" width="9.140625" style="1"/>
    <col min="4608" max="4608" width="31.140625" style="1" customWidth="1"/>
    <col min="4609" max="4609" width="24.7109375" style="1" customWidth="1"/>
    <col min="4610" max="4610" width="12.5703125" style="1" customWidth="1"/>
    <col min="4611" max="4611" width="11" style="1" customWidth="1"/>
    <col min="4612" max="4612" width="11.28515625" style="1" customWidth="1"/>
    <col min="4613" max="4613" width="9.140625" style="1"/>
    <col min="4614" max="4614" width="10.85546875" style="1" bestFit="1" customWidth="1"/>
    <col min="4615" max="4615" width="6.7109375" style="1" customWidth="1"/>
    <col min="4616" max="4616" width="24.7109375" style="1" customWidth="1"/>
    <col min="4617" max="4617" width="28.5703125" style="1" customWidth="1"/>
    <col min="4618" max="4618" width="11.140625" style="1" customWidth="1"/>
    <col min="4619" max="4619" width="36.7109375" style="1" customWidth="1"/>
    <col min="4620" max="4863" width="9.140625" style="1"/>
    <col min="4864" max="4864" width="31.140625" style="1" customWidth="1"/>
    <col min="4865" max="4865" width="24.7109375" style="1" customWidth="1"/>
    <col min="4866" max="4866" width="12.5703125" style="1" customWidth="1"/>
    <col min="4867" max="4867" width="11" style="1" customWidth="1"/>
    <col min="4868" max="4868" width="11.28515625" style="1" customWidth="1"/>
    <col min="4869" max="4869" width="9.140625" style="1"/>
    <col min="4870" max="4870" width="10.85546875" style="1" bestFit="1" customWidth="1"/>
    <col min="4871" max="4871" width="6.7109375" style="1" customWidth="1"/>
    <col min="4872" max="4872" width="24.7109375" style="1" customWidth="1"/>
    <col min="4873" max="4873" width="28.5703125" style="1" customWidth="1"/>
    <col min="4874" max="4874" width="11.140625" style="1" customWidth="1"/>
    <col min="4875" max="4875" width="36.7109375" style="1" customWidth="1"/>
    <col min="4876" max="5119" width="9.140625" style="1"/>
    <col min="5120" max="5120" width="31.140625" style="1" customWidth="1"/>
    <col min="5121" max="5121" width="24.7109375" style="1" customWidth="1"/>
    <col min="5122" max="5122" width="12.5703125" style="1" customWidth="1"/>
    <col min="5123" max="5123" width="11" style="1" customWidth="1"/>
    <col min="5124" max="5124" width="11.28515625" style="1" customWidth="1"/>
    <col min="5125" max="5125" width="9.140625" style="1"/>
    <col min="5126" max="5126" width="10.85546875" style="1" bestFit="1" customWidth="1"/>
    <col min="5127" max="5127" width="6.7109375" style="1" customWidth="1"/>
    <col min="5128" max="5128" width="24.7109375" style="1" customWidth="1"/>
    <col min="5129" max="5129" width="28.5703125" style="1" customWidth="1"/>
    <col min="5130" max="5130" width="11.140625" style="1" customWidth="1"/>
    <col min="5131" max="5131" width="36.7109375" style="1" customWidth="1"/>
    <col min="5132" max="5375" width="9.140625" style="1"/>
    <col min="5376" max="5376" width="31.140625" style="1" customWidth="1"/>
    <col min="5377" max="5377" width="24.7109375" style="1" customWidth="1"/>
    <col min="5378" max="5378" width="12.5703125" style="1" customWidth="1"/>
    <col min="5379" max="5379" width="11" style="1" customWidth="1"/>
    <col min="5380" max="5380" width="11.28515625" style="1" customWidth="1"/>
    <col min="5381" max="5381" width="9.140625" style="1"/>
    <col min="5382" max="5382" width="10.85546875" style="1" bestFit="1" customWidth="1"/>
    <col min="5383" max="5383" width="6.7109375" style="1" customWidth="1"/>
    <col min="5384" max="5384" width="24.7109375" style="1" customWidth="1"/>
    <col min="5385" max="5385" width="28.5703125" style="1" customWidth="1"/>
    <col min="5386" max="5386" width="11.140625" style="1" customWidth="1"/>
    <col min="5387" max="5387" width="36.7109375" style="1" customWidth="1"/>
    <col min="5388" max="5631" width="9.140625" style="1"/>
    <col min="5632" max="5632" width="31.140625" style="1" customWidth="1"/>
    <col min="5633" max="5633" width="24.7109375" style="1" customWidth="1"/>
    <col min="5634" max="5634" width="12.5703125" style="1" customWidth="1"/>
    <col min="5635" max="5635" width="11" style="1" customWidth="1"/>
    <col min="5636" max="5636" width="11.28515625" style="1" customWidth="1"/>
    <col min="5637" max="5637" width="9.140625" style="1"/>
    <col min="5638" max="5638" width="10.85546875" style="1" bestFit="1" customWidth="1"/>
    <col min="5639" max="5639" width="6.7109375" style="1" customWidth="1"/>
    <col min="5640" max="5640" width="24.7109375" style="1" customWidth="1"/>
    <col min="5641" max="5641" width="28.5703125" style="1" customWidth="1"/>
    <col min="5642" max="5642" width="11.140625" style="1" customWidth="1"/>
    <col min="5643" max="5643" width="36.7109375" style="1" customWidth="1"/>
    <col min="5644" max="5887" width="9.140625" style="1"/>
    <col min="5888" max="5888" width="31.140625" style="1" customWidth="1"/>
    <col min="5889" max="5889" width="24.7109375" style="1" customWidth="1"/>
    <col min="5890" max="5890" width="12.5703125" style="1" customWidth="1"/>
    <col min="5891" max="5891" width="11" style="1" customWidth="1"/>
    <col min="5892" max="5892" width="11.28515625" style="1" customWidth="1"/>
    <col min="5893" max="5893" width="9.140625" style="1"/>
    <col min="5894" max="5894" width="10.85546875" style="1" bestFit="1" customWidth="1"/>
    <col min="5895" max="5895" width="6.7109375" style="1" customWidth="1"/>
    <col min="5896" max="5896" width="24.7109375" style="1" customWidth="1"/>
    <col min="5897" max="5897" width="28.5703125" style="1" customWidth="1"/>
    <col min="5898" max="5898" width="11.140625" style="1" customWidth="1"/>
    <col min="5899" max="5899" width="36.7109375" style="1" customWidth="1"/>
    <col min="5900" max="6143" width="9.140625" style="1"/>
    <col min="6144" max="6144" width="31.140625" style="1" customWidth="1"/>
    <col min="6145" max="6145" width="24.7109375" style="1" customWidth="1"/>
    <col min="6146" max="6146" width="12.5703125" style="1" customWidth="1"/>
    <col min="6147" max="6147" width="11" style="1" customWidth="1"/>
    <col min="6148" max="6148" width="11.28515625" style="1" customWidth="1"/>
    <col min="6149" max="6149" width="9.140625" style="1"/>
    <col min="6150" max="6150" width="10.85546875" style="1" bestFit="1" customWidth="1"/>
    <col min="6151" max="6151" width="6.7109375" style="1" customWidth="1"/>
    <col min="6152" max="6152" width="24.7109375" style="1" customWidth="1"/>
    <col min="6153" max="6153" width="28.5703125" style="1" customWidth="1"/>
    <col min="6154" max="6154" width="11.140625" style="1" customWidth="1"/>
    <col min="6155" max="6155" width="36.7109375" style="1" customWidth="1"/>
    <col min="6156" max="6399" width="9.140625" style="1"/>
    <col min="6400" max="6400" width="31.140625" style="1" customWidth="1"/>
    <col min="6401" max="6401" width="24.7109375" style="1" customWidth="1"/>
    <col min="6402" max="6402" width="12.5703125" style="1" customWidth="1"/>
    <col min="6403" max="6403" width="11" style="1" customWidth="1"/>
    <col min="6404" max="6404" width="11.28515625" style="1" customWidth="1"/>
    <col min="6405" max="6405" width="9.140625" style="1"/>
    <col min="6406" max="6406" width="10.85546875" style="1" bestFit="1" customWidth="1"/>
    <col min="6407" max="6407" width="6.7109375" style="1" customWidth="1"/>
    <col min="6408" max="6408" width="24.7109375" style="1" customWidth="1"/>
    <col min="6409" max="6409" width="28.5703125" style="1" customWidth="1"/>
    <col min="6410" max="6410" width="11.140625" style="1" customWidth="1"/>
    <col min="6411" max="6411" width="36.7109375" style="1" customWidth="1"/>
    <col min="6412" max="6655" width="9.140625" style="1"/>
    <col min="6656" max="6656" width="31.140625" style="1" customWidth="1"/>
    <col min="6657" max="6657" width="24.7109375" style="1" customWidth="1"/>
    <col min="6658" max="6658" width="12.5703125" style="1" customWidth="1"/>
    <col min="6659" max="6659" width="11" style="1" customWidth="1"/>
    <col min="6660" max="6660" width="11.28515625" style="1" customWidth="1"/>
    <col min="6661" max="6661" width="9.140625" style="1"/>
    <col min="6662" max="6662" width="10.85546875" style="1" bestFit="1" customWidth="1"/>
    <col min="6663" max="6663" width="6.7109375" style="1" customWidth="1"/>
    <col min="6664" max="6664" width="24.7109375" style="1" customWidth="1"/>
    <col min="6665" max="6665" width="28.5703125" style="1" customWidth="1"/>
    <col min="6666" max="6666" width="11.140625" style="1" customWidth="1"/>
    <col min="6667" max="6667" width="36.7109375" style="1" customWidth="1"/>
    <col min="6668" max="6911" width="9.140625" style="1"/>
    <col min="6912" max="6912" width="31.140625" style="1" customWidth="1"/>
    <col min="6913" max="6913" width="24.7109375" style="1" customWidth="1"/>
    <col min="6914" max="6914" width="12.5703125" style="1" customWidth="1"/>
    <col min="6915" max="6915" width="11" style="1" customWidth="1"/>
    <col min="6916" max="6916" width="11.28515625" style="1" customWidth="1"/>
    <col min="6917" max="6917" width="9.140625" style="1"/>
    <col min="6918" max="6918" width="10.85546875" style="1" bestFit="1" customWidth="1"/>
    <col min="6919" max="6919" width="6.7109375" style="1" customWidth="1"/>
    <col min="6920" max="6920" width="24.7109375" style="1" customWidth="1"/>
    <col min="6921" max="6921" width="28.5703125" style="1" customWidth="1"/>
    <col min="6922" max="6922" width="11.140625" style="1" customWidth="1"/>
    <col min="6923" max="6923" width="36.7109375" style="1" customWidth="1"/>
    <col min="6924" max="7167" width="9.140625" style="1"/>
    <col min="7168" max="7168" width="31.140625" style="1" customWidth="1"/>
    <col min="7169" max="7169" width="24.7109375" style="1" customWidth="1"/>
    <col min="7170" max="7170" width="12.5703125" style="1" customWidth="1"/>
    <col min="7171" max="7171" width="11" style="1" customWidth="1"/>
    <col min="7172" max="7172" width="11.28515625" style="1" customWidth="1"/>
    <col min="7173" max="7173" width="9.140625" style="1"/>
    <col min="7174" max="7174" width="10.85546875" style="1" bestFit="1" customWidth="1"/>
    <col min="7175" max="7175" width="6.7109375" style="1" customWidth="1"/>
    <col min="7176" max="7176" width="24.7109375" style="1" customWidth="1"/>
    <col min="7177" max="7177" width="28.5703125" style="1" customWidth="1"/>
    <col min="7178" max="7178" width="11.140625" style="1" customWidth="1"/>
    <col min="7179" max="7179" width="36.7109375" style="1" customWidth="1"/>
    <col min="7180" max="7423" width="9.140625" style="1"/>
    <col min="7424" max="7424" width="31.140625" style="1" customWidth="1"/>
    <col min="7425" max="7425" width="24.7109375" style="1" customWidth="1"/>
    <col min="7426" max="7426" width="12.5703125" style="1" customWidth="1"/>
    <col min="7427" max="7427" width="11" style="1" customWidth="1"/>
    <col min="7428" max="7428" width="11.28515625" style="1" customWidth="1"/>
    <col min="7429" max="7429" width="9.140625" style="1"/>
    <col min="7430" max="7430" width="10.85546875" style="1" bestFit="1" customWidth="1"/>
    <col min="7431" max="7431" width="6.7109375" style="1" customWidth="1"/>
    <col min="7432" max="7432" width="24.7109375" style="1" customWidth="1"/>
    <col min="7433" max="7433" width="28.5703125" style="1" customWidth="1"/>
    <col min="7434" max="7434" width="11.140625" style="1" customWidth="1"/>
    <col min="7435" max="7435" width="36.7109375" style="1" customWidth="1"/>
    <col min="7436" max="7679" width="9.140625" style="1"/>
    <col min="7680" max="7680" width="31.140625" style="1" customWidth="1"/>
    <col min="7681" max="7681" width="24.7109375" style="1" customWidth="1"/>
    <col min="7682" max="7682" width="12.5703125" style="1" customWidth="1"/>
    <col min="7683" max="7683" width="11" style="1" customWidth="1"/>
    <col min="7684" max="7684" width="11.28515625" style="1" customWidth="1"/>
    <col min="7685" max="7685" width="9.140625" style="1"/>
    <col min="7686" max="7686" width="10.85546875" style="1" bestFit="1" customWidth="1"/>
    <col min="7687" max="7687" width="6.7109375" style="1" customWidth="1"/>
    <col min="7688" max="7688" width="24.7109375" style="1" customWidth="1"/>
    <col min="7689" max="7689" width="28.5703125" style="1" customWidth="1"/>
    <col min="7690" max="7690" width="11.140625" style="1" customWidth="1"/>
    <col min="7691" max="7691" width="36.7109375" style="1" customWidth="1"/>
    <col min="7692" max="7935" width="9.140625" style="1"/>
    <col min="7936" max="7936" width="31.140625" style="1" customWidth="1"/>
    <col min="7937" max="7937" width="24.7109375" style="1" customWidth="1"/>
    <col min="7938" max="7938" width="12.5703125" style="1" customWidth="1"/>
    <col min="7939" max="7939" width="11" style="1" customWidth="1"/>
    <col min="7940" max="7940" width="11.28515625" style="1" customWidth="1"/>
    <col min="7941" max="7941" width="9.140625" style="1"/>
    <col min="7942" max="7942" width="10.85546875" style="1" bestFit="1" customWidth="1"/>
    <col min="7943" max="7943" width="6.7109375" style="1" customWidth="1"/>
    <col min="7944" max="7944" width="24.7109375" style="1" customWidth="1"/>
    <col min="7945" max="7945" width="28.5703125" style="1" customWidth="1"/>
    <col min="7946" max="7946" width="11.140625" style="1" customWidth="1"/>
    <col min="7947" max="7947" width="36.7109375" style="1" customWidth="1"/>
    <col min="7948" max="8191" width="9.140625" style="1"/>
    <col min="8192" max="8192" width="31.140625" style="1" customWidth="1"/>
    <col min="8193" max="8193" width="24.7109375" style="1" customWidth="1"/>
    <col min="8194" max="8194" width="12.5703125" style="1" customWidth="1"/>
    <col min="8195" max="8195" width="11" style="1" customWidth="1"/>
    <col min="8196" max="8196" width="11.28515625" style="1" customWidth="1"/>
    <col min="8197" max="8197" width="9.140625" style="1"/>
    <col min="8198" max="8198" width="10.85546875" style="1" bestFit="1" customWidth="1"/>
    <col min="8199" max="8199" width="6.7109375" style="1" customWidth="1"/>
    <col min="8200" max="8200" width="24.7109375" style="1" customWidth="1"/>
    <col min="8201" max="8201" width="28.5703125" style="1" customWidth="1"/>
    <col min="8202" max="8202" width="11.140625" style="1" customWidth="1"/>
    <col min="8203" max="8203" width="36.7109375" style="1" customWidth="1"/>
    <col min="8204" max="8447" width="9.140625" style="1"/>
    <col min="8448" max="8448" width="31.140625" style="1" customWidth="1"/>
    <col min="8449" max="8449" width="24.7109375" style="1" customWidth="1"/>
    <col min="8450" max="8450" width="12.5703125" style="1" customWidth="1"/>
    <col min="8451" max="8451" width="11" style="1" customWidth="1"/>
    <col min="8452" max="8452" width="11.28515625" style="1" customWidth="1"/>
    <col min="8453" max="8453" width="9.140625" style="1"/>
    <col min="8454" max="8454" width="10.85546875" style="1" bestFit="1" customWidth="1"/>
    <col min="8455" max="8455" width="6.7109375" style="1" customWidth="1"/>
    <col min="8456" max="8456" width="24.7109375" style="1" customWidth="1"/>
    <col min="8457" max="8457" width="28.5703125" style="1" customWidth="1"/>
    <col min="8458" max="8458" width="11.140625" style="1" customWidth="1"/>
    <col min="8459" max="8459" width="36.7109375" style="1" customWidth="1"/>
    <col min="8460" max="8703" width="9.140625" style="1"/>
    <col min="8704" max="8704" width="31.140625" style="1" customWidth="1"/>
    <col min="8705" max="8705" width="24.7109375" style="1" customWidth="1"/>
    <col min="8706" max="8706" width="12.5703125" style="1" customWidth="1"/>
    <col min="8707" max="8707" width="11" style="1" customWidth="1"/>
    <col min="8708" max="8708" width="11.28515625" style="1" customWidth="1"/>
    <col min="8709" max="8709" width="9.140625" style="1"/>
    <col min="8710" max="8710" width="10.85546875" style="1" bestFit="1" customWidth="1"/>
    <col min="8711" max="8711" width="6.7109375" style="1" customWidth="1"/>
    <col min="8712" max="8712" width="24.7109375" style="1" customWidth="1"/>
    <col min="8713" max="8713" width="28.5703125" style="1" customWidth="1"/>
    <col min="8714" max="8714" width="11.140625" style="1" customWidth="1"/>
    <col min="8715" max="8715" width="36.7109375" style="1" customWidth="1"/>
    <col min="8716" max="8959" width="9.140625" style="1"/>
    <col min="8960" max="8960" width="31.140625" style="1" customWidth="1"/>
    <col min="8961" max="8961" width="24.7109375" style="1" customWidth="1"/>
    <col min="8962" max="8962" width="12.5703125" style="1" customWidth="1"/>
    <col min="8963" max="8963" width="11" style="1" customWidth="1"/>
    <col min="8964" max="8964" width="11.28515625" style="1" customWidth="1"/>
    <col min="8965" max="8965" width="9.140625" style="1"/>
    <col min="8966" max="8966" width="10.85546875" style="1" bestFit="1" customWidth="1"/>
    <col min="8967" max="8967" width="6.7109375" style="1" customWidth="1"/>
    <col min="8968" max="8968" width="24.7109375" style="1" customWidth="1"/>
    <col min="8969" max="8969" width="28.5703125" style="1" customWidth="1"/>
    <col min="8970" max="8970" width="11.140625" style="1" customWidth="1"/>
    <col min="8971" max="8971" width="36.7109375" style="1" customWidth="1"/>
    <col min="8972" max="9215" width="9.140625" style="1"/>
    <col min="9216" max="9216" width="31.140625" style="1" customWidth="1"/>
    <col min="9217" max="9217" width="24.7109375" style="1" customWidth="1"/>
    <col min="9218" max="9218" width="12.5703125" style="1" customWidth="1"/>
    <col min="9219" max="9219" width="11" style="1" customWidth="1"/>
    <col min="9220" max="9220" width="11.28515625" style="1" customWidth="1"/>
    <col min="9221" max="9221" width="9.140625" style="1"/>
    <col min="9222" max="9222" width="10.85546875" style="1" bestFit="1" customWidth="1"/>
    <col min="9223" max="9223" width="6.7109375" style="1" customWidth="1"/>
    <col min="9224" max="9224" width="24.7109375" style="1" customWidth="1"/>
    <col min="9225" max="9225" width="28.5703125" style="1" customWidth="1"/>
    <col min="9226" max="9226" width="11.140625" style="1" customWidth="1"/>
    <col min="9227" max="9227" width="36.7109375" style="1" customWidth="1"/>
    <col min="9228" max="9471" width="9.140625" style="1"/>
    <col min="9472" max="9472" width="31.140625" style="1" customWidth="1"/>
    <col min="9473" max="9473" width="24.7109375" style="1" customWidth="1"/>
    <col min="9474" max="9474" width="12.5703125" style="1" customWidth="1"/>
    <col min="9475" max="9475" width="11" style="1" customWidth="1"/>
    <col min="9476" max="9476" width="11.28515625" style="1" customWidth="1"/>
    <col min="9477" max="9477" width="9.140625" style="1"/>
    <col min="9478" max="9478" width="10.85546875" style="1" bestFit="1" customWidth="1"/>
    <col min="9479" max="9479" width="6.7109375" style="1" customWidth="1"/>
    <col min="9480" max="9480" width="24.7109375" style="1" customWidth="1"/>
    <col min="9481" max="9481" width="28.5703125" style="1" customWidth="1"/>
    <col min="9482" max="9482" width="11.140625" style="1" customWidth="1"/>
    <col min="9483" max="9483" width="36.7109375" style="1" customWidth="1"/>
    <col min="9484" max="9727" width="9.140625" style="1"/>
    <col min="9728" max="9728" width="31.140625" style="1" customWidth="1"/>
    <col min="9729" max="9729" width="24.7109375" style="1" customWidth="1"/>
    <col min="9730" max="9730" width="12.5703125" style="1" customWidth="1"/>
    <col min="9731" max="9731" width="11" style="1" customWidth="1"/>
    <col min="9732" max="9732" width="11.28515625" style="1" customWidth="1"/>
    <col min="9733" max="9733" width="9.140625" style="1"/>
    <col min="9734" max="9734" width="10.85546875" style="1" bestFit="1" customWidth="1"/>
    <col min="9735" max="9735" width="6.7109375" style="1" customWidth="1"/>
    <col min="9736" max="9736" width="24.7109375" style="1" customWidth="1"/>
    <col min="9737" max="9737" width="28.5703125" style="1" customWidth="1"/>
    <col min="9738" max="9738" width="11.140625" style="1" customWidth="1"/>
    <col min="9739" max="9739" width="36.7109375" style="1" customWidth="1"/>
    <col min="9740" max="9983" width="9.140625" style="1"/>
    <col min="9984" max="9984" width="31.140625" style="1" customWidth="1"/>
    <col min="9985" max="9985" width="24.7109375" style="1" customWidth="1"/>
    <col min="9986" max="9986" width="12.5703125" style="1" customWidth="1"/>
    <col min="9987" max="9987" width="11" style="1" customWidth="1"/>
    <col min="9988" max="9988" width="11.28515625" style="1" customWidth="1"/>
    <col min="9989" max="9989" width="9.140625" style="1"/>
    <col min="9990" max="9990" width="10.85546875" style="1" bestFit="1" customWidth="1"/>
    <col min="9991" max="9991" width="6.7109375" style="1" customWidth="1"/>
    <col min="9992" max="9992" width="24.7109375" style="1" customWidth="1"/>
    <col min="9993" max="9993" width="28.5703125" style="1" customWidth="1"/>
    <col min="9994" max="9994" width="11.140625" style="1" customWidth="1"/>
    <col min="9995" max="9995" width="36.7109375" style="1" customWidth="1"/>
    <col min="9996" max="10239" width="9.140625" style="1"/>
    <col min="10240" max="10240" width="31.140625" style="1" customWidth="1"/>
    <col min="10241" max="10241" width="24.7109375" style="1" customWidth="1"/>
    <col min="10242" max="10242" width="12.5703125" style="1" customWidth="1"/>
    <col min="10243" max="10243" width="11" style="1" customWidth="1"/>
    <col min="10244" max="10244" width="11.28515625" style="1" customWidth="1"/>
    <col min="10245" max="10245" width="9.140625" style="1"/>
    <col min="10246" max="10246" width="10.85546875" style="1" bestFit="1" customWidth="1"/>
    <col min="10247" max="10247" width="6.7109375" style="1" customWidth="1"/>
    <col min="10248" max="10248" width="24.7109375" style="1" customWidth="1"/>
    <col min="10249" max="10249" width="28.5703125" style="1" customWidth="1"/>
    <col min="10250" max="10250" width="11.140625" style="1" customWidth="1"/>
    <col min="10251" max="10251" width="36.7109375" style="1" customWidth="1"/>
    <col min="10252" max="10495" width="9.140625" style="1"/>
    <col min="10496" max="10496" width="31.140625" style="1" customWidth="1"/>
    <col min="10497" max="10497" width="24.7109375" style="1" customWidth="1"/>
    <col min="10498" max="10498" width="12.5703125" style="1" customWidth="1"/>
    <col min="10499" max="10499" width="11" style="1" customWidth="1"/>
    <col min="10500" max="10500" width="11.28515625" style="1" customWidth="1"/>
    <col min="10501" max="10501" width="9.140625" style="1"/>
    <col min="10502" max="10502" width="10.85546875" style="1" bestFit="1" customWidth="1"/>
    <col min="10503" max="10503" width="6.7109375" style="1" customWidth="1"/>
    <col min="10504" max="10504" width="24.7109375" style="1" customWidth="1"/>
    <col min="10505" max="10505" width="28.5703125" style="1" customWidth="1"/>
    <col min="10506" max="10506" width="11.140625" style="1" customWidth="1"/>
    <col min="10507" max="10507" width="36.7109375" style="1" customWidth="1"/>
    <col min="10508" max="10751" width="9.140625" style="1"/>
    <col min="10752" max="10752" width="31.140625" style="1" customWidth="1"/>
    <col min="10753" max="10753" width="24.7109375" style="1" customWidth="1"/>
    <col min="10754" max="10754" width="12.5703125" style="1" customWidth="1"/>
    <col min="10755" max="10755" width="11" style="1" customWidth="1"/>
    <col min="10756" max="10756" width="11.28515625" style="1" customWidth="1"/>
    <col min="10757" max="10757" width="9.140625" style="1"/>
    <col min="10758" max="10758" width="10.85546875" style="1" bestFit="1" customWidth="1"/>
    <col min="10759" max="10759" width="6.7109375" style="1" customWidth="1"/>
    <col min="10760" max="10760" width="24.7109375" style="1" customWidth="1"/>
    <col min="10761" max="10761" width="28.5703125" style="1" customWidth="1"/>
    <col min="10762" max="10762" width="11.140625" style="1" customWidth="1"/>
    <col min="10763" max="10763" width="36.7109375" style="1" customWidth="1"/>
    <col min="10764" max="11007" width="9.140625" style="1"/>
    <col min="11008" max="11008" width="31.140625" style="1" customWidth="1"/>
    <col min="11009" max="11009" width="24.7109375" style="1" customWidth="1"/>
    <col min="11010" max="11010" width="12.5703125" style="1" customWidth="1"/>
    <col min="11011" max="11011" width="11" style="1" customWidth="1"/>
    <col min="11012" max="11012" width="11.28515625" style="1" customWidth="1"/>
    <col min="11013" max="11013" width="9.140625" style="1"/>
    <col min="11014" max="11014" width="10.85546875" style="1" bestFit="1" customWidth="1"/>
    <col min="11015" max="11015" width="6.7109375" style="1" customWidth="1"/>
    <col min="11016" max="11016" width="24.7109375" style="1" customWidth="1"/>
    <col min="11017" max="11017" width="28.5703125" style="1" customWidth="1"/>
    <col min="11018" max="11018" width="11.140625" style="1" customWidth="1"/>
    <col min="11019" max="11019" width="36.7109375" style="1" customWidth="1"/>
    <col min="11020" max="11263" width="9.140625" style="1"/>
    <col min="11264" max="11264" width="31.140625" style="1" customWidth="1"/>
    <col min="11265" max="11265" width="24.7109375" style="1" customWidth="1"/>
    <col min="11266" max="11266" width="12.5703125" style="1" customWidth="1"/>
    <col min="11267" max="11267" width="11" style="1" customWidth="1"/>
    <col min="11268" max="11268" width="11.28515625" style="1" customWidth="1"/>
    <col min="11269" max="11269" width="9.140625" style="1"/>
    <col min="11270" max="11270" width="10.85546875" style="1" bestFit="1" customWidth="1"/>
    <col min="11271" max="11271" width="6.7109375" style="1" customWidth="1"/>
    <col min="11272" max="11272" width="24.7109375" style="1" customWidth="1"/>
    <col min="11273" max="11273" width="28.5703125" style="1" customWidth="1"/>
    <col min="11274" max="11274" width="11.140625" style="1" customWidth="1"/>
    <col min="11275" max="11275" width="36.7109375" style="1" customWidth="1"/>
    <col min="11276" max="11519" width="9.140625" style="1"/>
    <col min="11520" max="11520" width="31.140625" style="1" customWidth="1"/>
    <col min="11521" max="11521" width="24.7109375" style="1" customWidth="1"/>
    <col min="11522" max="11522" width="12.5703125" style="1" customWidth="1"/>
    <col min="11523" max="11523" width="11" style="1" customWidth="1"/>
    <col min="11524" max="11524" width="11.28515625" style="1" customWidth="1"/>
    <col min="11525" max="11525" width="9.140625" style="1"/>
    <col min="11526" max="11526" width="10.85546875" style="1" bestFit="1" customWidth="1"/>
    <col min="11527" max="11527" width="6.7109375" style="1" customWidth="1"/>
    <col min="11528" max="11528" width="24.7109375" style="1" customWidth="1"/>
    <col min="11529" max="11529" width="28.5703125" style="1" customWidth="1"/>
    <col min="11530" max="11530" width="11.140625" style="1" customWidth="1"/>
    <col min="11531" max="11531" width="36.7109375" style="1" customWidth="1"/>
    <col min="11532" max="11775" width="9.140625" style="1"/>
    <col min="11776" max="11776" width="31.140625" style="1" customWidth="1"/>
    <col min="11777" max="11777" width="24.7109375" style="1" customWidth="1"/>
    <col min="11778" max="11778" width="12.5703125" style="1" customWidth="1"/>
    <col min="11779" max="11779" width="11" style="1" customWidth="1"/>
    <col min="11780" max="11780" width="11.28515625" style="1" customWidth="1"/>
    <col min="11781" max="11781" width="9.140625" style="1"/>
    <col min="11782" max="11782" width="10.85546875" style="1" bestFit="1" customWidth="1"/>
    <col min="11783" max="11783" width="6.7109375" style="1" customWidth="1"/>
    <col min="11784" max="11784" width="24.7109375" style="1" customWidth="1"/>
    <col min="11785" max="11785" width="28.5703125" style="1" customWidth="1"/>
    <col min="11786" max="11786" width="11.140625" style="1" customWidth="1"/>
    <col min="11787" max="11787" width="36.7109375" style="1" customWidth="1"/>
    <col min="11788" max="12031" width="9.140625" style="1"/>
    <col min="12032" max="12032" width="31.140625" style="1" customWidth="1"/>
    <col min="12033" max="12033" width="24.7109375" style="1" customWidth="1"/>
    <col min="12034" max="12034" width="12.5703125" style="1" customWidth="1"/>
    <col min="12035" max="12035" width="11" style="1" customWidth="1"/>
    <col min="12036" max="12036" width="11.28515625" style="1" customWidth="1"/>
    <col min="12037" max="12037" width="9.140625" style="1"/>
    <col min="12038" max="12038" width="10.85546875" style="1" bestFit="1" customWidth="1"/>
    <col min="12039" max="12039" width="6.7109375" style="1" customWidth="1"/>
    <col min="12040" max="12040" width="24.7109375" style="1" customWidth="1"/>
    <col min="12041" max="12041" width="28.5703125" style="1" customWidth="1"/>
    <col min="12042" max="12042" width="11.140625" style="1" customWidth="1"/>
    <col min="12043" max="12043" width="36.7109375" style="1" customWidth="1"/>
    <col min="12044" max="12287" width="9.140625" style="1"/>
    <col min="12288" max="12288" width="31.140625" style="1" customWidth="1"/>
    <col min="12289" max="12289" width="24.7109375" style="1" customWidth="1"/>
    <col min="12290" max="12290" width="12.5703125" style="1" customWidth="1"/>
    <col min="12291" max="12291" width="11" style="1" customWidth="1"/>
    <col min="12292" max="12292" width="11.28515625" style="1" customWidth="1"/>
    <col min="12293" max="12293" width="9.140625" style="1"/>
    <col min="12294" max="12294" width="10.85546875" style="1" bestFit="1" customWidth="1"/>
    <col min="12295" max="12295" width="6.7109375" style="1" customWidth="1"/>
    <col min="12296" max="12296" width="24.7109375" style="1" customWidth="1"/>
    <col min="12297" max="12297" width="28.5703125" style="1" customWidth="1"/>
    <col min="12298" max="12298" width="11.140625" style="1" customWidth="1"/>
    <col min="12299" max="12299" width="36.7109375" style="1" customWidth="1"/>
    <col min="12300" max="12543" width="9.140625" style="1"/>
    <col min="12544" max="12544" width="31.140625" style="1" customWidth="1"/>
    <col min="12545" max="12545" width="24.7109375" style="1" customWidth="1"/>
    <col min="12546" max="12546" width="12.5703125" style="1" customWidth="1"/>
    <col min="12547" max="12547" width="11" style="1" customWidth="1"/>
    <col min="12548" max="12548" width="11.28515625" style="1" customWidth="1"/>
    <col min="12549" max="12549" width="9.140625" style="1"/>
    <col min="12550" max="12550" width="10.85546875" style="1" bestFit="1" customWidth="1"/>
    <col min="12551" max="12551" width="6.7109375" style="1" customWidth="1"/>
    <col min="12552" max="12552" width="24.7109375" style="1" customWidth="1"/>
    <col min="12553" max="12553" width="28.5703125" style="1" customWidth="1"/>
    <col min="12554" max="12554" width="11.140625" style="1" customWidth="1"/>
    <col min="12555" max="12555" width="36.7109375" style="1" customWidth="1"/>
    <col min="12556" max="12799" width="9.140625" style="1"/>
    <col min="12800" max="12800" width="31.140625" style="1" customWidth="1"/>
    <col min="12801" max="12801" width="24.7109375" style="1" customWidth="1"/>
    <col min="12802" max="12802" width="12.5703125" style="1" customWidth="1"/>
    <col min="12803" max="12803" width="11" style="1" customWidth="1"/>
    <col min="12804" max="12804" width="11.28515625" style="1" customWidth="1"/>
    <col min="12805" max="12805" width="9.140625" style="1"/>
    <col min="12806" max="12806" width="10.85546875" style="1" bestFit="1" customWidth="1"/>
    <col min="12807" max="12807" width="6.7109375" style="1" customWidth="1"/>
    <col min="12808" max="12808" width="24.7109375" style="1" customWidth="1"/>
    <col min="12809" max="12809" width="28.5703125" style="1" customWidth="1"/>
    <col min="12810" max="12810" width="11.140625" style="1" customWidth="1"/>
    <col min="12811" max="12811" width="36.7109375" style="1" customWidth="1"/>
    <col min="12812" max="13055" width="9.140625" style="1"/>
    <col min="13056" max="13056" width="31.140625" style="1" customWidth="1"/>
    <col min="13057" max="13057" width="24.7109375" style="1" customWidth="1"/>
    <col min="13058" max="13058" width="12.5703125" style="1" customWidth="1"/>
    <col min="13059" max="13059" width="11" style="1" customWidth="1"/>
    <col min="13060" max="13060" width="11.28515625" style="1" customWidth="1"/>
    <col min="13061" max="13061" width="9.140625" style="1"/>
    <col min="13062" max="13062" width="10.85546875" style="1" bestFit="1" customWidth="1"/>
    <col min="13063" max="13063" width="6.7109375" style="1" customWidth="1"/>
    <col min="13064" max="13064" width="24.7109375" style="1" customWidth="1"/>
    <col min="13065" max="13065" width="28.5703125" style="1" customWidth="1"/>
    <col min="13066" max="13066" width="11.140625" style="1" customWidth="1"/>
    <col min="13067" max="13067" width="36.7109375" style="1" customWidth="1"/>
    <col min="13068" max="13311" width="9.140625" style="1"/>
    <col min="13312" max="13312" width="31.140625" style="1" customWidth="1"/>
    <col min="13313" max="13313" width="24.7109375" style="1" customWidth="1"/>
    <col min="13314" max="13314" width="12.5703125" style="1" customWidth="1"/>
    <col min="13315" max="13315" width="11" style="1" customWidth="1"/>
    <col min="13316" max="13316" width="11.28515625" style="1" customWidth="1"/>
    <col min="13317" max="13317" width="9.140625" style="1"/>
    <col min="13318" max="13318" width="10.85546875" style="1" bestFit="1" customWidth="1"/>
    <col min="13319" max="13319" width="6.7109375" style="1" customWidth="1"/>
    <col min="13320" max="13320" width="24.7109375" style="1" customWidth="1"/>
    <col min="13321" max="13321" width="28.5703125" style="1" customWidth="1"/>
    <col min="13322" max="13322" width="11.140625" style="1" customWidth="1"/>
    <col min="13323" max="13323" width="36.7109375" style="1" customWidth="1"/>
    <col min="13324" max="13567" width="9.140625" style="1"/>
    <col min="13568" max="13568" width="31.140625" style="1" customWidth="1"/>
    <col min="13569" max="13569" width="24.7109375" style="1" customWidth="1"/>
    <col min="13570" max="13570" width="12.5703125" style="1" customWidth="1"/>
    <col min="13571" max="13571" width="11" style="1" customWidth="1"/>
    <col min="13572" max="13572" width="11.28515625" style="1" customWidth="1"/>
    <col min="13573" max="13573" width="9.140625" style="1"/>
    <col min="13574" max="13574" width="10.85546875" style="1" bestFit="1" customWidth="1"/>
    <col min="13575" max="13575" width="6.7109375" style="1" customWidth="1"/>
    <col min="13576" max="13576" width="24.7109375" style="1" customWidth="1"/>
    <col min="13577" max="13577" width="28.5703125" style="1" customWidth="1"/>
    <col min="13578" max="13578" width="11.140625" style="1" customWidth="1"/>
    <col min="13579" max="13579" width="36.7109375" style="1" customWidth="1"/>
    <col min="13580" max="13823" width="9.140625" style="1"/>
    <col min="13824" max="13824" width="31.140625" style="1" customWidth="1"/>
    <col min="13825" max="13825" width="24.7109375" style="1" customWidth="1"/>
    <col min="13826" max="13826" width="12.5703125" style="1" customWidth="1"/>
    <col min="13827" max="13827" width="11" style="1" customWidth="1"/>
    <col min="13828" max="13828" width="11.28515625" style="1" customWidth="1"/>
    <col min="13829" max="13829" width="9.140625" style="1"/>
    <col min="13830" max="13830" width="10.85546875" style="1" bestFit="1" customWidth="1"/>
    <col min="13831" max="13831" width="6.7109375" style="1" customWidth="1"/>
    <col min="13832" max="13832" width="24.7109375" style="1" customWidth="1"/>
    <col min="13833" max="13833" width="28.5703125" style="1" customWidth="1"/>
    <col min="13834" max="13834" width="11.140625" style="1" customWidth="1"/>
    <col min="13835" max="13835" width="36.7109375" style="1" customWidth="1"/>
    <col min="13836" max="14079" width="9.140625" style="1"/>
    <col min="14080" max="14080" width="31.140625" style="1" customWidth="1"/>
    <col min="14081" max="14081" width="24.7109375" style="1" customWidth="1"/>
    <col min="14082" max="14082" width="12.5703125" style="1" customWidth="1"/>
    <col min="14083" max="14083" width="11" style="1" customWidth="1"/>
    <col min="14084" max="14084" width="11.28515625" style="1" customWidth="1"/>
    <col min="14085" max="14085" width="9.140625" style="1"/>
    <col min="14086" max="14086" width="10.85546875" style="1" bestFit="1" customWidth="1"/>
    <col min="14087" max="14087" width="6.7109375" style="1" customWidth="1"/>
    <col min="14088" max="14088" width="24.7109375" style="1" customWidth="1"/>
    <col min="14089" max="14089" width="28.5703125" style="1" customWidth="1"/>
    <col min="14090" max="14090" width="11.140625" style="1" customWidth="1"/>
    <col min="14091" max="14091" width="36.7109375" style="1" customWidth="1"/>
    <col min="14092" max="14335" width="9.140625" style="1"/>
    <col min="14336" max="14336" width="31.140625" style="1" customWidth="1"/>
    <col min="14337" max="14337" width="24.7109375" style="1" customWidth="1"/>
    <col min="14338" max="14338" width="12.5703125" style="1" customWidth="1"/>
    <col min="14339" max="14339" width="11" style="1" customWidth="1"/>
    <col min="14340" max="14340" width="11.28515625" style="1" customWidth="1"/>
    <col min="14341" max="14341" width="9.140625" style="1"/>
    <col min="14342" max="14342" width="10.85546875" style="1" bestFit="1" customWidth="1"/>
    <col min="14343" max="14343" width="6.7109375" style="1" customWidth="1"/>
    <col min="14344" max="14344" width="24.7109375" style="1" customWidth="1"/>
    <col min="14345" max="14345" width="28.5703125" style="1" customWidth="1"/>
    <col min="14346" max="14346" width="11.140625" style="1" customWidth="1"/>
    <col min="14347" max="14347" width="36.7109375" style="1" customWidth="1"/>
    <col min="14348" max="14591" width="9.140625" style="1"/>
    <col min="14592" max="14592" width="31.140625" style="1" customWidth="1"/>
    <col min="14593" max="14593" width="24.7109375" style="1" customWidth="1"/>
    <col min="14594" max="14594" width="12.5703125" style="1" customWidth="1"/>
    <col min="14595" max="14595" width="11" style="1" customWidth="1"/>
    <col min="14596" max="14596" width="11.28515625" style="1" customWidth="1"/>
    <col min="14597" max="14597" width="9.140625" style="1"/>
    <col min="14598" max="14598" width="10.85546875" style="1" bestFit="1" customWidth="1"/>
    <col min="14599" max="14599" width="6.7109375" style="1" customWidth="1"/>
    <col min="14600" max="14600" width="24.7109375" style="1" customWidth="1"/>
    <col min="14601" max="14601" width="28.5703125" style="1" customWidth="1"/>
    <col min="14602" max="14602" width="11.140625" style="1" customWidth="1"/>
    <col min="14603" max="14603" width="36.7109375" style="1" customWidth="1"/>
    <col min="14604" max="14847" width="9.140625" style="1"/>
    <col min="14848" max="14848" width="31.140625" style="1" customWidth="1"/>
    <col min="14849" max="14849" width="24.7109375" style="1" customWidth="1"/>
    <col min="14850" max="14850" width="12.5703125" style="1" customWidth="1"/>
    <col min="14851" max="14851" width="11" style="1" customWidth="1"/>
    <col min="14852" max="14852" width="11.28515625" style="1" customWidth="1"/>
    <col min="14853" max="14853" width="9.140625" style="1"/>
    <col min="14854" max="14854" width="10.85546875" style="1" bestFit="1" customWidth="1"/>
    <col min="14855" max="14855" width="6.7109375" style="1" customWidth="1"/>
    <col min="14856" max="14856" width="24.7109375" style="1" customWidth="1"/>
    <col min="14857" max="14857" width="28.5703125" style="1" customWidth="1"/>
    <col min="14858" max="14858" width="11.140625" style="1" customWidth="1"/>
    <col min="14859" max="14859" width="36.7109375" style="1" customWidth="1"/>
    <col min="14860" max="15103" width="9.140625" style="1"/>
    <col min="15104" max="15104" width="31.140625" style="1" customWidth="1"/>
    <col min="15105" max="15105" width="24.7109375" style="1" customWidth="1"/>
    <col min="15106" max="15106" width="12.5703125" style="1" customWidth="1"/>
    <col min="15107" max="15107" width="11" style="1" customWidth="1"/>
    <col min="15108" max="15108" width="11.28515625" style="1" customWidth="1"/>
    <col min="15109" max="15109" width="9.140625" style="1"/>
    <col min="15110" max="15110" width="10.85546875" style="1" bestFit="1" customWidth="1"/>
    <col min="15111" max="15111" width="6.7109375" style="1" customWidth="1"/>
    <col min="15112" max="15112" width="24.7109375" style="1" customWidth="1"/>
    <col min="15113" max="15113" width="28.5703125" style="1" customWidth="1"/>
    <col min="15114" max="15114" width="11.140625" style="1" customWidth="1"/>
    <col min="15115" max="15115" width="36.7109375" style="1" customWidth="1"/>
    <col min="15116" max="15359" width="9.140625" style="1"/>
    <col min="15360" max="15360" width="31.140625" style="1" customWidth="1"/>
    <col min="15361" max="15361" width="24.7109375" style="1" customWidth="1"/>
    <col min="15362" max="15362" width="12.5703125" style="1" customWidth="1"/>
    <col min="15363" max="15363" width="11" style="1" customWidth="1"/>
    <col min="15364" max="15364" width="11.28515625" style="1" customWidth="1"/>
    <col min="15365" max="15365" width="9.140625" style="1"/>
    <col min="15366" max="15366" width="10.85546875" style="1" bestFit="1" customWidth="1"/>
    <col min="15367" max="15367" width="6.7109375" style="1" customWidth="1"/>
    <col min="15368" max="15368" width="24.7109375" style="1" customWidth="1"/>
    <col min="15369" max="15369" width="28.5703125" style="1" customWidth="1"/>
    <col min="15370" max="15370" width="11.140625" style="1" customWidth="1"/>
    <col min="15371" max="15371" width="36.7109375" style="1" customWidth="1"/>
    <col min="15372" max="15615" width="9.140625" style="1"/>
    <col min="15616" max="15616" width="31.140625" style="1" customWidth="1"/>
    <col min="15617" max="15617" width="24.7109375" style="1" customWidth="1"/>
    <col min="15618" max="15618" width="12.5703125" style="1" customWidth="1"/>
    <col min="15619" max="15619" width="11" style="1" customWidth="1"/>
    <col min="15620" max="15620" width="11.28515625" style="1" customWidth="1"/>
    <col min="15621" max="15621" width="9.140625" style="1"/>
    <col min="15622" max="15622" width="10.85546875" style="1" bestFit="1" customWidth="1"/>
    <col min="15623" max="15623" width="6.7109375" style="1" customWidth="1"/>
    <col min="15624" max="15624" width="24.7109375" style="1" customWidth="1"/>
    <col min="15625" max="15625" width="28.5703125" style="1" customWidth="1"/>
    <col min="15626" max="15626" width="11.140625" style="1" customWidth="1"/>
    <col min="15627" max="15627" width="36.7109375" style="1" customWidth="1"/>
    <col min="15628" max="15871" width="9.140625" style="1"/>
    <col min="15872" max="15872" width="31.140625" style="1" customWidth="1"/>
    <col min="15873" max="15873" width="24.7109375" style="1" customWidth="1"/>
    <col min="15874" max="15874" width="12.5703125" style="1" customWidth="1"/>
    <col min="15875" max="15875" width="11" style="1" customWidth="1"/>
    <col min="15876" max="15876" width="11.28515625" style="1" customWidth="1"/>
    <col min="15877" max="15877" width="9.140625" style="1"/>
    <col min="15878" max="15878" width="10.85546875" style="1" bestFit="1" customWidth="1"/>
    <col min="15879" max="15879" width="6.7109375" style="1" customWidth="1"/>
    <col min="15880" max="15880" width="24.7109375" style="1" customWidth="1"/>
    <col min="15881" max="15881" width="28.5703125" style="1" customWidth="1"/>
    <col min="15882" max="15882" width="11.140625" style="1" customWidth="1"/>
    <col min="15883" max="15883" width="36.7109375" style="1" customWidth="1"/>
    <col min="15884" max="16127" width="9.140625" style="1"/>
    <col min="16128" max="16128" width="31.140625" style="1" customWidth="1"/>
    <col min="16129" max="16129" width="24.7109375" style="1" customWidth="1"/>
    <col min="16130" max="16130" width="12.5703125" style="1" customWidth="1"/>
    <col min="16131" max="16131" width="11" style="1" customWidth="1"/>
    <col min="16132" max="16132" width="11.28515625" style="1" customWidth="1"/>
    <col min="16133" max="16133" width="9.140625" style="1"/>
    <col min="16134" max="16134" width="10.85546875" style="1" bestFit="1" customWidth="1"/>
    <col min="16135" max="16135" width="6.7109375" style="1" customWidth="1"/>
    <col min="16136" max="16136" width="24.7109375" style="1" customWidth="1"/>
    <col min="16137" max="16137" width="28.5703125" style="1" customWidth="1"/>
    <col min="16138" max="16138" width="11.140625" style="1" customWidth="1"/>
    <col min="16139" max="16139" width="36.7109375" style="1" customWidth="1"/>
    <col min="16140" max="16384" width="9.140625" style="1"/>
  </cols>
  <sheetData>
    <row r="1" spans="1:12" x14ac:dyDescent="0.2">
      <c r="C1" s="1070" t="str">
        <f>Доходы!C1</f>
        <v>К проекту среднесрочного финансового плана</v>
      </c>
      <c r="D1" s="1070"/>
      <c r="E1" s="1070"/>
    </row>
    <row r="2" spans="1:12" x14ac:dyDescent="0.2">
      <c r="C2" s="103"/>
    </row>
    <row r="3" spans="1:12" ht="15.75" x14ac:dyDescent="0.2">
      <c r="A3" s="1071" t="s">
        <v>207</v>
      </c>
      <c r="B3" s="1071"/>
      <c r="C3" s="1071"/>
      <c r="D3" s="1071"/>
      <c r="E3" s="1071"/>
    </row>
    <row r="4" spans="1:12" ht="15.75" x14ac:dyDescent="0.2">
      <c r="A4" s="1071" t="str">
        <f>Доходы!A3</f>
        <v>на 2020 год и плановый период 2021-2022 годов</v>
      </c>
      <c r="B4" s="1071"/>
      <c r="C4" s="1071"/>
      <c r="D4" s="1071"/>
      <c r="E4" s="1071"/>
    </row>
    <row r="5" spans="1:12" ht="13.5" customHeight="1" x14ac:dyDescent="0.2">
      <c r="A5" s="1056" t="str">
        <f>Доходы!A4</f>
        <v>Единица измерения: тыс. руб.</v>
      </c>
      <c r="B5" s="1056"/>
      <c r="C5" s="1056"/>
      <c r="D5" s="1056"/>
      <c r="E5" s="1056"/>
    </row>
    <row r="6" spans="1:12" ht="12.75" customHeight="1" x14ac:dyDescent="0.2">
      <c r="A6" s="1072" t="s">
        <v>97</v>
      </c>
      <c r="B6" s="1073" t="s">
        <v>208</v>
      </c>
      <c r="C6" s="1055" t="str">
        <f>Доходы!C5</f>
        <v>Очередной 
финансовый
2020 год</v>
      </c>
      <c r="D6" s="1055" t="s">
        <v>5</v>
      </c>
      <c r="E6" s="1055"/>
    </row>
    <row r="7" spans="1:12" ht="24" x14ac:dyDescent="0.2">
      <c r="A7" s="1072"/>
      <c r="B7" s="1073"/>
      <c r="C7" s="1055"/>
      <c r="D7" s="61" t="str">
        <f>Доходы!D6</f>
        <v>1-й год, 2021 год</v>
      </c>
      <c r="E7" s="61" t="str">
        <f>Доходы!E6</f>
        <v>2-й год, 2022 год</v>
      </c>
    </row>
    <row r="8" spans="1:12" ht="38.25" x14ac:dyDescent="0.2">
      <c r="A8" s="104" t="s">
        <v>209</v>
      </c>
      <c r="B8" s="105" t="s">
        <v>210</v>
      </c>
      <c r="C8" s="106">
        <f>C9</f>
        <v>2066.1000000000058</v>
      </c>
      <c r="D8" s="106">
        <f>D9</f>
        <v>-145.299999999992</v>
      </c>
      <c r="E8" s="106">
        <f>E9</f>
        <v>-152.09999999999127</v>
      </c>
      <c r="G8" s="107"/>
      <c r="J8" s="108">
        <v>3845.8</v>
      </c>
      <c r="K8" s="109" t="s">
        <v>749</v>
      </c>
    </row>
    <row r="9" spans="1:12" ht="25.5" x14ac:dyDescent="0.2">
      <c r="A9" s="15" t="s">
        <v>211</v>
      </c>
      <c r="B9" s="110" t="s">
        <v>212</v>
      </c>
      <c r="C9" s="111">
        <f>C14+C11</f>
        <v>2066.1000000000058</v>
      </c>
      <c r="D9" s="111">
        <f>D14+D11</f>
        <v>-145.299999999992</v>
      </c>
      <c r="E9" s="111">
        <f>E14+E11</f>
        <v>-152.09999999999127</v>
      </c>
      <c r="G9" s="112"/>
      <c r="H9" s="113"/>
      <c r="I9" s="113"/>
      <c r="J9" s="114">
        <f>C8</f>
        <v>2066.1000000000058</v>
      </c>
      <c r="K9" s="115" t="s">
        <v>750</v>
      </c>
    </row>
    <row r="10" spans="1:12" ht="25.5" x14ac:dyDescent="0.2">
      <c r="A10" s="15" t="s">
        <v>213</v>
      </c>
      <c r="B10" s="116" t="s">
        <v>214</v>
      </c>
      <c r="C10" s="111">
        <f t="shared" ref="C10:E12" si="0">C11</f>
        <v>-30236.400000000001</v>
      </c>
      <c r="D10" s="111">
        <f t="shared" si="0"/>
        <v>-28242.7</v>
      </c>
      <c r="E10" s="111">
        <f t="shared" si="0"/>
        <v>-28562.6</v>
      </c>
      <c r="J10" s="114">
        <f>J8-J9</f>
        <v>1779.6999999999944</v>
      </c>
      <c r="K10" s="115" t="s">
        <v>751</v>
      </c>
    </row>
    <row r="11" spans="1:12" ht="25.5" x14ac:dyDescent="0.2">
      <c r="A11" s="15" t="s">
        <v>215</v>
      </c>
      <c r="B11" s="116" t="s">
        <v>216</v>
      </c>
      <c r="C11" s="111">
        <f t="shared" si="0"/>
        <v>-30236.400000000001</v>
      </c>
      <c r="D11" s="111">
        <f t="shared" si="0"/>
        <v>-28242.7</v>
      </c>
      <c r="E11" s="111">
        <f t="shared" si="0"/>
        <v>-28562.6</v>
      </c>
      <c r="J11" s="112"/>
      <c r="K11" s="117"/>
    </row>
    <row r="12" spans="1:12" ht="25.5" x14ac:dyDescent="0.2">
      <c r="A12" s="15" t="s">
        <v>217</v>
      </c>
      <c r="B12" s="116" t="s">
        <v>218</v>
      </c>
      <c r="C12" s="111">
        <f t="shared" si="0"/>
        <v>-30236.400000000001</v>
      </c>
      <c r="D12" s="111">
        <f t="shared" si="0"/>
        <v>-28242.7</v>
      </c>
      <c r="E12" s="111">
        <f t="shared" si="0"/>
        <v>-28562.6</v>
      </c>
    </row>
    <row r="13" spans="1:12" ht="38.25" x14ac:dyDescent="0.2">
      <c r="A13" s="15" t="s">
        <v>219</v>
      </c>
      <c r="B13" s="116" t="s">
        <v>220</v>
      </c>
      <c r="C13" s="111">
        <f>-Доходы!C7</f>
        <v>-30236.400000000001</v>
      </c>
      <c r="D13" s="111">
        <f>-Доходы!D7</f>
        <v>-28242.7</v>
      </c>
      <c r="E13" s="111">
        <f>-Доходы!E7</f>
        <v>-28562.6</v>
      </c>
      <c r="J13" s="118"/>
      <c r="K13" s="117"/>
      <c r="L13" s="117"/>
    </row>
    <row r="14" spans="1:12" ht="25.5" x14ac:dyDescent="0.2">
      <c r="A14" s="15" t="s">
        <v>221</v>
      </c>
      <c r="B14" s="116" t="s">
        <v>222</v>
      </c>
      <c r="C14" s="111">
        <f t="shared" ref="C14:E16" si="1">C15</f>
        <v>32302.500000000007</v>
      </c>
      <c r="D14" s="111">
        <f t="shared" si="1"/>
        <v>28097.400000000009</v>
      </c>
      <c r="E14" s="111">
        <f t="shared" si="1"/>
        <v>28410.500000000007</v>
      </c>
      <c r="I14" s="930" t="s">
        <v>867</v>
      </c>
      <c r="J14" s="931">
        <v>0.80900000000000005</v>
      </c>
      <c r="K14" s="936" t="s">
        <v>870</v>
      </c>
      <c r="L14" s="937">
        <v>0.23699999999999999</v>
      </c>
    </row>
    <row r="15" spans="1:12" ht="25.5" x14ac:dyDescent="0.2">
      <c r="A15" s="15" t="s">
        <v>223</v>
      </c>
      <c r="B15" s="116" t="s">
        <v>224</v>
      </c>
      <c r="C15" s="111">
        <f t="shared" si="1"/>
        <v>32302.500000000007</v>
      </c>
      <c r="D15" s="111">
        <f t="shared" si="1"/>
        <v>28097.400000000009</v>
      </c>
      <c r="E15" s="111">
        <f t="shared" si="1"/>
        <v>28410.500000000007</v>
      </c>
      <c r="I15" s="930" t="s">
        <v>868</v>
      </c>
      <c r="J15" s="932">
        <f>ROUND((Доходы!C9+Доходы!C12+Доходы!C18+Доходы!C22+Доходы!C26+Доходы!C29+Доходы!C40+Доходы!C49),1)</f>
        <v>17349.099999999999</v>
      </c>
      <c r="K15" s="938" t="s">
        <v>868</v>
      </c>
      <c r="L15" s="939">
        <f>ROUND((Доходы!C9+Доходы!C12+Доходы!C18+Доходы!C22+Доходы!C26+Доходы!C29+Доходы!C40+Доходы!C49),1)</f>
        <v>17349.099999999999</v>
      </c>
    </row>
    <row r="16" spans="1:12" ht="25.5" x14ac:dyDescent="0.2">
      <c r="A16" s="15" t="s">
        <v>225</v>
      </c>
      <c r="B16" s="116" t="s">
        <v>226</v>
      </c>
      <c r="C16" s="111">
        <f t="shared" si="1"/>
        <v>32302.500000000007</v>
      </c>
      <c r="D16" s="111">
        <f t="shared" si="1"/>
        <v>28097.400000000009</v>
      </c>
      <c r="E16" s="111">
        <f t="shared" si="1"/>
        <v>28410.500000000007</v>
      </c>
      <c r="I16" s="930" t="s">
        <v>869</v>
      </c>
      <c r="J16" s="932">
        <f>ROUND((J15*J14),1)</f>
        <v>14035.4</v>
      </c>
      <c r="K16" s="938" t="s">
        <v>869</v>
      </c>
      <c r="L16" s="939">
        <f>ROUND((L15*L14),1)</f>
        <v>4111.7</v>
      </c>
    </row>
    <row r="17" spans="1:12" ht="38.25" x14ac:dyDescent="0.2">
      <c r="A17" s="15" t="s">
        <v>227</v>
      </c>
      <c r="B17" s="116" t="s">
        <v>228</v>
      </c>
      <c r="C17" s="119">
        <f>Расходы!G8</f>
        <v>32302.500000000007</v>
      </c>
      <c r="D17" s="119">
        <f>Расходы!H8</f>
        <v>28097.400000000009</v>
      </c>
      <c r="E17" s="119">
        <f>Расходы!I8</f>
        <v>28410.500000000007</v>
      </c>
      <c r="I17" s="933" t="s">
        <v>873</v>
      </c>
      <c r="J17" s="932">
        <f>сВДЛ!H66+сДеп!H66+сЗП!H66+сАУП!H67</f>
        <v>13732.400000000001</v>
      </c>
      <c r="K17" s="940" t="s">
        <v>874</v>
      </c>
      <c r="L17" s="939">
        <f>сВДЛ!H18+сВДЛ!H51+рЗП!G9</f>
        <v>3858.7</v>
      </c>
    </row>
    <row r="18" spans="1:12" x14ac:dyDescent="0.2">
      <c r="A18" s="120"/>
      <c r="B18" s="121"/>
      <c r="C18" s="121"/>
      <c r="D18" s="121"/>
      <c r="E18" s="121"/>
      <c r="I18" s="930"/>
      <c r="J18" s="934" t="b">
        <f>J16&gt;J17</f>
        <v>1</v>
      </c>
      <c r="K18" s="938"/>
      <c r="L18" s="941" t="b">
        <f>L16&gt;L17</f>
        <v>1</v>
      </c>
    </row>
    <row r="19" spans="1:12" x14ac:dyDescent="0.2">
      <c r="A19" s="122"/>
      <c r="D19" s="121"/>
      <c r="E19" s="121"/>
      <c r="I19" s="930"/>
      <c r="J19" s="930"/>
      <c r="K19" s="938"/>
      <c r="L19" s="938"/>
    </row>
    <row r="20" spans="1:12" x14ac:dyDescent="0.2">
      <c r="A20" s="123"/>
      <c r="B20" s="121"/>
      <c r="C20" s="121"/>
      <c r="D20" s="121"/>
      <c r="E20" s="121"/>
      <c r="I20" s="930"/>
      <c r="J20" s="935">
        <f>J17*100/J15</f>
        <v>79.153385478209259</v>
      </c>
      <c r="K20" s="938"/>
      <c r="L20" s="942">
        <f>L17*100/L15</f>
        <v>22.241499559054937</v>
      </c>
    </row>
    <row r="21" spans="1:12" x14ac:dyDescent="0.2">
      <c r="A21" s="123"/>
      <c r="B21" s="121"/>
      <c r="C21" s="121"/>
      <c r="D21" s="121"/>
      <c r="E21" s="121"/>
    </row>
    <row r="22" spans="1:12" x14ac:dyDescent="0.2">
      <c r="A22" s="120"/>
      <c r="B22" s="121"/>
      <c r="C22" s="121"/>
      <c r="D22" s="121"/>
      <c r="E22" s="121"/>
    </row>
    <row r="23" spans="1:12" x14ac:dyDescent="0.2">
      <c r="A23" s="123"/>
      <c r="B23" s="121"/>
      <c r="C23" s="121"/>
      <c r="D23" s="121"/>
      <c r="E23" s="121"/>
    </row>
    <row r="24" spans="1:12" x14ac:dyDescent="0.2">
      <c r="A24" s="117"/>
      <c r="B24" s="121"/>
      <c r="C24" s="121"/>
      <c r="D24" s="121"/>
      <c r="E24" s="121"/>
    </row>
    <row r="25" spans="1:12" x14ac:dyDescent="0.2">
      <c r="A25" s="120"/>
      <c r="B25" s="121"/>
      <c r="C25" s="121"/>
      <c r="D25" s="121"/>
      <c r="E25" s="121"/>
    </row>
    <row r="26" spans="1:12" x14ac:dyDescent="0.2">
      <c r="A26" s="120"/>
      <c r="B26" s="121"/>
      <c r="C26" s="121"/>
      <c r="D26" s="121"/>
      <c r="E26" s="121"/>
    </row>
  </sheetData>
  <mergeCells count="8">
    <mergeCell ref="C1:E1"/>
    <mergeCell ref="A3:E3"/>
    <mergeCell ref="A4:E4"/>
    <mergeCell ref="A6:A7"/>
    <mergeCell ref="B6:B7"/>
    <mergeCell ref="C6:C7"/>
    <mergeCell ref="D6:E6"/>
    <mergeCell ref="A5:E5"/>
  </mergeCells>
  <pageMargins left="0.70866141732283472" right="0.11811023622047245" top="0.74803149606299213" bottom="0.74803149606299213" header="0.31496062992125984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9"/>
  <sheetViews>
    <sheetView showZeros="0" topLeftCell="A43" workbookViewId="0">
      <selection activeCell="I65" sqref="I65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509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81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81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81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81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81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82"/>
    </row>
    <row r="7" spans="1:9" s="829" customFormat="1" ht="15" customHeight="1" x14ac:dyDescent="0.25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76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77"/>
    </row>
    <row r="9" spans="1:9" s="829" customFormat="1" ht="13.5" customHeight="1" x14ac:dyDescent="0.25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78"/>
    </row>
    <row r="10" spans="1:9" s="829" customFormat="1" ht="13.5" customHeight="1" x14ac:dyDescent="0.25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78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79"/>
    </row>
    <row r="12" spans="1:9" s="179" customFormat="1" x14ac:dyDescent="0.2">
      <c r="A12" s="1201" t="s">
        <v>174</v>
      </c>
      <c r="B12" s="1201"/>
      <c r="C12" s="1201"/>
      <c r="D12" s="1201"/>
      <c r="E12" s="1201"/>
      <c r="F12" s="1201"/>
      <c r="G12" s="1201"/>
      <c r="H12" s="1201"/>
      <c r="I12" s="883"/>
    </row>
    <row r="13" spans="1:9" s="179" customFormat="1" ht="6" customHeight="1" x14ac:dyDescent="0.2">
      <c r="E13" s="842"/>
      <c r="F13" s="842"/>
      <c r="G13" s="842"/>
      <c r="H13" s="842"/>
      <c r="I13" s="883"/>
    </row>
    <row r="14" spans="1:9" s="179" customFormat="1" ht="12.75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883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45"/>
    </row>
    <row r="16" spans="1:9" x14ac:dyDescent="0.25">
      <c r="A16" s="564" t="s">
        <v>640</v>
      </c>
      <c r="B16" s="848" t="s">
        <v>128</v>
      </c>
      <c r="C16" s="848" t="s">
        <v>184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0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 t="s">
        <v>128</v>
      </c>
      <c r="C24" s="846" t="s">
        <v>184</v>
      </c>
      <c r="D24" s="846" t="s">
        <v>485</v>
      </c>
      <c r="E24" s="846" t="s">
        <v>126</v>
      </c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  <c r="I34" s="883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 t="s">
        <v>128</v>
      </c>
      <c r="C36" s="848" t="s">
        <v>184</v>
      </c>
      <c r="D36" s="848" t="s">
        <v>666</v>
      </c>
      <c r="E36" s="848" t="s">
        <v>416</v>
      </c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84"/>
    </row>
    <row r="38" spans="1:9" x14ac:dyDescent="0.25">
      <c r="A38" s="567" t="s">
        <v>361</v>
      </c>
      <c r="B38" s="852" t="s">
        <v>128</v>
      </c>
      <c r="C38" s="852" t="s">
        <v>184</v>
      </c>
      <c r="D38" s="852" t="s">
        <v>666</v>
      </c>
      <c r="E38" s="428" t="s">
        <v>416</v>
      </c>
      <c r="F38" s="560">
        <v>226</v>
      </c>
      <c r="G38" s="560" t="s">
        <v>362</v>
      </c>
      <c r="H38" s="281">
        <f>рНацЭкон!H11</f>
        <v>0</v>
      </c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  <c r="I46" s="883"/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9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9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9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9" x14ac:dyDescent="0.25">
      <c r="A52" s="565" t="s">
        <v>369</v>
      </c>
      <c r="B52" s="857" t="s">
        <v>128</v>
      </c>
      <c r="C52" s="857" t="s">
        <v>184</v>
      </c>
      <c r="D52" s="857" t="s">
        <v>485</v>
      </c>
      <c r="E52" s="857" t="s">
        <v>770</v>
      </c>
      <c r="F52" s="558" t="s">
        <v>370</v>
      </c>
      <c r="G52" s="558"/>
      <c r="H52" s="858">
        <f>SUM(H53:H58)</f>
        <v>0</v>
      </c>
    </row>
    <row r="53" spans="1:9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9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9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9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9" x14ac:dyDescent="0.25">
      <c r="A57" s="568" t="s">
        <v>655</v>
      </c>
      <c r="B57" s="861" t="s">
        <v>128</v>
      </c>
      <c r="C57" s="861" t="s">
        <v>184</v>
      </c>
      <c r="D57" s="848" t="s">
        <v>769</v>
      </c>
      <c r="E57" s="861" t="s">
        <v>770</v>
      </c>
      <c r="F57" s="562">
        <v>296</v>
      </c>
      <c r="G57" s="562"/>
      <c r="H57" s="850">
        <f>рНацЭкон!H18</f>
        <v>0</v>
      </c>
    </row>
    <row r="58" spans="1:9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9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9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9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9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9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  <c r="I64" s="509">
        <v>10000</v>
      </c>
    </row>
    <row r="65" spans="1:9" x14ac:dyDescent="0.25">
      <c r="A65" s="569" t="s">
        <v>487</v>
      </c>
      <c r="B65" s="848" t="s">
        <v>128</v>
      </c>
      <c r="C65" s="848" t="s">
        <v>184</v>
      </c>
      <c r="D65" s="848" t="s">
        <v>666</v>
      </c>
      <c r="E65" s="848" t="s">
        <v>126</v>
      </c>
      <c r="F65" s="563"/>
      <c r="G65" s="563"/>
      <c r="H65" s="850">
        <f>H38</f>
        <v>0</v>
      </c>
    </row>
    <row r="66" spans="1:9" x14ac:dyDescent="0.25">
      <c r="A66" s="569" t="s">
        <v>487</v>
      </c>
      <c r="B66" s="848" t="s">
        <v>128</v>
      </c>
      <c r="C66" s="848" t="s">
        <v>184</v>
      </c>
      <c r="D66" s="848" t="s">
        <v>769</v>
      </c>
      <c r="E66" s="848" t="s">
        <v>205</v>
      </c>
      <c r="F66" s="563"/>
      <c r="G66" s="563"/>
      <c r="H66" s="850">
        <f>H57</f>
        <v>0</v>
      </c>
    </row>
    <row r="67" spans="1:9" x14ac:dyDescent="0.25">
      <c r="A67" s="571" t="s">
        <v>377</v>
      </c>
      <c r="B67" s="848" t="s">
        <v>128</v>
      </c>
      <c r="C67" s="848" t="s">
        <v>184</v>
      </c>
      <c r="D67" s="848" t="s">
        <v>485</v>
      </c>
      <c r="E67" s="848" t="s">
        <v>345</v>
      </c>
      <c r="F67" s="570"/>
      <c r="G67" s="570"/>
      <c r="H67" s="850">
        <f>H59+H16</f>
        <v>0</v>
      </c>
      <c r="I67" s="509">
        <f>SUM(I16:I64)</f>
        <v>10000</v>
      </c>
    </row>
    <row r="68" spans="1:9" x14ac:dyDescent="0.25">
      <c r="A68" s="862"/>
      <c r="B68" s="863"/>
      <c r="C68" s="863"/>
      <c r="D68" s="863"/>
      <c r="E68" s="863"/>
      <c r="F68" s="863"/>
      <c r="G68" s="863"/>
      <c r="H68" s="864"/>
    </row>
    <row r="69" spans="1:9" x14ac:dyDescent="0.25">
      <c r="I69" s="883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24"/>
  <sheetViews>
    <sheetView workbookViewId="0">
      <selection activeCell="I17" sqref="I17"/>
    </sheetView>
  </sheetViews>
  <sheetFormatPr defaultRowHeight="15" x14ac:dyDescent="0.25"/>
  <cols>
    <col min="1" max="1" width="4" style="279" customWidth="1"/>
    <col min="2" max="2" width="27" style="279" customWidth="1"/>
    <col min="3" max="4" width="6.5703125" style="279" customWidth="1"/>
    <col min="5" max="5" width="10.5703125" style="279" customWidth="1"/>
    <col min="6" max="8" width="10.7109375" style="279" customWidth="1"/>
    <col min="9" max="9" width="12.5703125" style="279" customWidth="1"/>
    <col min="10" max="10" width="10.5703125" style="279" bestFit="1" customWidth="1"/>
    <col min="11" max="11" width="9.140625" style="279"/>
    <col min="12" max="12" width="12.140625" style="279" customWidth="1"/>
    <col min="13" max="254" width="9.140625" style="279"/>
    <col min="255" max="255" width="4" style="279" customWidth="1"/>
    <col min="256" max="256" width="10.5703125" style="279" customWidth="1"/>
    <col min="257" max="257" width="11.140625" style="279" customWidth="1"/>
    <col min="258" max="258" width="8.7109375" style="279" customWidth="1"/>
    <col min="259" max="259" width="8" style="279" customWidth="1"/>
    <col min="260" max="260" width="10.28515625" style="279" customWidth="1"/>
    <col min="261" max="261" width="7.140625" style="279" customWidth="1"/>
    <col min="262" max="262" width="6.85546875" style="279" customWidth="1"/>
    <col min="263" max="263" width="11.7109375" style="279" customWidth="1"/>
    <col min="264" max="264" width="11.5703125" style="279" customWidth="1"/>
    <col min="265" max="265" width="9.140625" style="279"/>
    <col min="266" max="266" width="10.5703125" style="279" bestFit="1" customWidth="1"/>
    <col min="267" max="267" width="9.140625" style="279"/>
    <col min="268" max="268" width="12.140625" style="279" customWidth="1"/>
    <col min="269" max="510" width="9.140625" style="279"/>
    <col min="511" max="511" width="4" style="279" customWidth="1"/>
    <col min="512" max="512" width="10.5703125" style="279" customWidth="1"/>
    <col min="513" max="513" width="11.140625" style="279" customWidth="1"/>
    <col min="514" max="514" width="8.7109375" style="279" customWidth="1"/>
    <col min="515" max="515" width="8" style="279" customWidth="1"/>
    <col min="516" max="516" width="10.28515625" style="279" customWidth="1"/>
    <col min="517" max="517" width="7.140625" style="279" customWidth="1"/>
    <col min="518" max="518" width="6.85546875" style="279" customWidth="1"/>
    <col min="519" max="519" width="11.7109375" style="279" customWidth="1"/>
    <col min="520" max="520" width="11.5703125" style="279" customWidth="1"/>
    <col min="521" max="521" width="9.140625" style="279"/>
    <col min="522" max="522" width="10.5703125" style="279" bestFit="1" customWidth="1"/>
    <col min="523" max="523" width="9.140625" style="279"/>
    <col min="524" max="524" width="12.140625" style="279" customWidth="1"/>
    <col min="525" max="766" width="9.140625" style="279"/>
    <col min="767" max="767" width="4" style="279" customWidth="1"/>
    <col min="768" max="768" width="10.5703125" style="279" customWidth="1"/>
    <col min="769" max="769" width="11.140625" style="279" customWidth="1"/>
    <col min="770" max="770" width="8.7109375" style="279" customWidth="1"/>
    <col min="771" max="771" width="8" style="279" customWidth="1"/>
    <col min="772" max="772" width="10.28515625" style="279" customWidth="1"/>
    <col min="773" max="773" width="7.140625" style="279" customWidth="1"/>
    <col min="774" max="774" width="6.85546875" style="279" customWidth="1"/>
    <col min="775" max="775" width="11.7109375" style="279" customWidth="1"/>
    <col min="776" max="776" width="11.5703125" style="279" customWidth="1"/>
    <col min="777" max="777" width="9.140625" style="279"/>
    <col min="778" max="778" width="10.5703125" style="279" bestFit="1" customWidth="1"/>
    <col min="779" max="779" width="9.140625" style="279"/>
    <col min="780" max="780" width="12.140625" style="279" customWidth="1"/>
    <col min="781" max="1022" width="9.140625" style="279"/>
    <col min="1023" max="1023" width="4" style="279" customWidth="1"/>
    <col min="1024" max="1024" width="10.5703125" style="279" customWidth="1"/>
    <col min="1025" max="1025" width="11.140625" style="279" customWidth="1"/>
    <col min="1026" max="1026" width="8.7109375" style="279" customWidth="1"/>
    <col min="1027" max="1027" width="8" style="279" customWidth="1"/>
    <col min="1028" max="1028" width="10.28515625" style="279" customWidth="1"/>
    <col min="1029" max="1029" width="7.140625" style="279" customWidth="1"/>
    <col min="1030" max="1030" width="6.85546875" style="279" customWidth="1"/>
    <col min="1031" max="1031" width="11.7109375" style="279" customWidth="1"/>
    <col min="1032" max="1032" width="11.5703125" style="279" customWidth="1"/>
    <col min="1033" max="1033" width="9.140625" style="279"/>
    <col min="1034" max="1034" width="10.5703125" style="279" bestFit="1" customWidth="1"/>
    <col min="1035" max="1035" width="9.140625" style="279"/>
    <col min="1036" max="1036" width="12.140625" style="279" customWidth="1"/>
    <col min="1037" max="1278" width="9.140625" style="279"/>
    <col min="1279" max="1279" width="4" style="279" customWidth="1"/>
    <col min="1280" max="1280" width="10.5703125" style="279" customWidth="1"/>
    <col min="1281" max="1281" width="11.140625" style="279" customWidth="1"/>
    <col min="1282" max="1282" width="8.7109375" style="279" customWidth="1"/>
    <col min="1283" max="1283" width="8" style="279" customWidth="1"/>
    <col min="1284" max="1284" width="10.28515625" style="279" customWidth="1"/>
    <col min="1285" max="1285" width="7.140625" style="279" customWidth="1"/>
    <col min="1286" max="1286" width="6.85546875" style="279" customWidth="1"/>
    <col min="1287" max="1287" width="11.7109375" style="279" customWidth="1"/>
    <col min="1288" max="1288" width="11.5703125" style="279" customWidth="1"/>
    <col min="1289" max="1289" width="9.140625" style="279"/>
    <col min="1290" max="1290" width="10.5703125" style="279" bestFit="1" customWidth="1"/>
    <col min="1291" max="1291" width="9.140625" style="279"/>
    <col min="1292" max="1292" width="12.140625" style="279" customWidth="1"/>
    <col min="1293" max="1534" width="9.140625" style="279"/>
    <col min="1535" max="1535" width="4" style="279" customWidth="1"/>
    <col min="1536" max="1536" width="10.5703125" style="279" customWidth="1"/>
    <col min="1537" max="1537" width="11.140625" style="279" customWidth="1"/>
    <col min="1538" max="1538" width="8.7109375" style="279" customWidth="1"/>
    <col min="1539" max="1539" width="8" style="279" customWidth="1"/>
    <col min="1540" max="1540" width="10.28515625" style="279" customWidth="1"/>
    <col min="1541" max="1541" width="7.140625" style="279" customWidth="1"/>
    <col min="1542" max="1542" width="6.85546875" style="279" customWidth="1"/>
    <col min="1543" max="1543" width="11.7109375" style="279" customWidth="1"/>
    <col min="1544" max="1544" width="11.5703125" style="279" customWidth="1"/>
    <col min="1545" max="1545" width="9.140625" style="279"/>
    <col min="1546" max="1546" width="10.5703125" style="279" bestFit="1" customWidth="1"/>
    <col min="1547" max="1547" width="9.140625" style="279"/>
    <col min="1548" max="1548" width="12.140625" style="279" customWidth="1"/>
    <col min="1549" max="1790" width="9.140625" style="279"/>
    <col min="1791" max="1791" width="4" style="279" customWidth="1"/>
    <col min="1792" max="1792" width="10.5703125" style="279" customWidth="1"/>
    <col min="1793" max="1793" width="11.140625" style="279" customWidth="1"/>
    <col min="1794" max="1794" width="8.7109375" style="279" customWidth="1"/>
    <col min="1795" max="1795" width="8" style="279" customWidth="1"/>
    <col min="1796" max="1796" width="10.28515625" style="279" customWidth="1"/>
    <col min="1797" max="1797" width="7.140625" style="279" customWidth="1"/>
    <col min="1798" max="1798" width="6.85546875" style="279" customWidth="1"/>
    <col min="1799" max="1799" width="11.7109375" style="279" customWidth="1"/>
    <col min="1800" max="1800" width="11.5703125" style="279" customWidth="1"/>
    <col min="1801" max="1801" width="9.140625" style="279"/>
    <col min="1802" max="1802" width="10.5703125" style="279" bestFit="1" customWidth="1"/>
    <col min="1803" max="1803" width="9.140625" style="279"/>
    <col min="1804" max="1804" width="12.140625" style="279" customWidth="1"/>
    <col min="1805" max="2046" width="9.140625" style="279"/>
    <col min="2047" max="2047" width="4" style="279" customWidth="1"/>
    <col min="2048" max="2048" width="10.5703125" style="279" customWidth="1"/>
    <col min="2049" max="2049" width="11.140625" style="279" customWidth="1"/>
    <col min="2050" max="2050" width="8.7109375" style="279" customWidth="1"/>
    <col min="2051" max="2051" width="8" style="279" customWidth="1"/>
    <col min="2052" max="2052" width="10.28515625" style="279" customWidth="1"/>
    <col min="2053" max="2053" width="7.140625" style="279" customWidth="1"/>
    <col min="2054" max="2054" width="6.85546875" style="279" customWidth="1"/>
    <col min="2055" max="2055" width="11.7109375" style="279" customWidth="1"/>
    <col min="2056" max="2056" width="11.5703125" style="279" customWidth="1"/>
    <col min="2057" max="2057" width="9.140625" style="279"/>
    <col min="2058" max="2058" width="10.5703125" style="279" bestFit="1" customWidth="1"/>
    <col min="2059" max="2059" width="9.140625" style="279"/>
    <col min="2060" max="2060" width="12.140625" style="279" customWidth="1"/>
    <col min="2061" max="2302" width="9.140625" style="279"/>
    <col min="2303" max="2303" width="4" style="279" customWidth="1"/>
    <col min="2304" max="2304" width="10.5703125" style="279" customWidth="1"/>
    <col min="2305" max="2305" width="11.140625" style="279" customWidth="1"/>
    <col min="2306" max="2306" width="8.7109375" style="279" customWidth="1"/>
    <col min="2307" max="2307" width="8" style="279" customWidth="1"/>
    <col min="2308" max="2308" width="10.28515625" style="279" customWidth="1"/>
    <col min="2309" max="2309" width="7.140625" style="279" customWidth="1"/>
    <col min="2310" max="2310" width="6.85546875" style="279" customWidth="1"/>
    <col min="2311" max="2311" width="11.7109375" style="279" customWidth="1"/>
    <col min="2312" max="2312" width="11.5703125" style="279" customWidth="1"/>
    <col min="2313" max="2313" width="9.140625" style="279"/>
    <col min="2314" max="2314" width="10.5703125" style="279" bestFit="1" customWidth="1"/>
    <col min="2315" max="2315" width="9.140625" style="279"/>
    <col min="2316" max="2316" width="12.140625" style="279" customWidth="1"/>
    <col min="2317" max="2558" width="9.140625" style="279"/>
    <col min="2559" max="2559" width="4" style="279" customWidth="1"/>
    <col min="2560" max="2560" width="10.5703125" style="279" customWidth="1"/>
    <col min="2561" max="2561" width="11.140625" style="279" customWidth="1"/>
    <col min="2562" max="2562" width="8.7109375" style="279" customWidth="1"/>
    <col min="2563" max="2563" width="8" style="279" customWidth="1"/>
    <col min="2564" max="2564" width="10.28515625" style="279" customWidth="1"/>
    <col min="2565" max="2565" width="7.140625" style="279" customWidth="1"/>
    <col min="2566" max="2566" width="6.85546875" style="279" customWidth="1"/>
    <col min="2567" max="2567" width="11.7109375" style="279" customWidth="1"/>
    <col min="2568" max="2568" width="11.5703125" style="279" customWidth="1"/>
    <col min="2569" max="2569" width="9.140625" style="279"/>
    <col min="2570" max="2570" width="10.5703125" style="279" bestFit="1" customWidth="1"/>
    <col min="2571" max="2571" width="9.140625" style="279"/>
    <col min="2572" max="2572" width="12.140625" style="279" customWidth="1"/>
    <col min="2573" max="2814" width="9.140625" style="279"/>
    <col min="2815" max="2815" width="4" style="279" customWidth="1"/>
    <col min="2816" max="2816" width="10.5703125" style="279" customWidth="1"/>
    <col min="2817" max="2817" width="11.140625" style="279" customWidth="1"/>
    <col min="2818" max="2818" width="8.7109375" style="279" customWidth="1"/>
    <col min="2819" max="2819" width="8" style="279" customWidth="1"/>
    <col min="2820" max="2820" width="10.28515625" style="279" customWidth="1"/>
    <col min="2821" max="2821" width="7.140625" style="279" customWidth="1"/>
    <col min="2822" max="2822" width="6.85546875" style="279" customWidth="1"/>
    <col min="2823" max="2823" width="11.7109375" style="279" customWidth="1"/>
    <col min="2824" max="2824" width="11.5703125" style="279" customWidth="1"/>
    <col min="2825" max="2825" width="9.140625" style="279"/>
    <col min="2826" max="2826" width="10.5703125" style="279" bestFit="1" customWidth="1"/>
    <col min="2827" max="2827" width="9.140625" style="279"/>
    <col min="2828" max="2828" width="12.140625" style="279" customWidth="1"/>
    <col min="2829" max="3070" width="9.140625" style="279"/>
    <col min="3071" max="3071" width="4" style="279" customWidth="1"/>
    <col min="3072" max="3072" width="10.5703125" style="279" customWidth="1"/>
    <col min="3073" max="3073" width="11.140625" style="279" customWidth="1"/>
    <col min="3074" max="3074" width="8.7109375" style="279" customWidth="1"/>
    <col min="3075" max="3075" width="8" style="279" customWidth="1"/>
    <col min="3076" max="3076" width="10.28515625" style="279" customWidth="1"/>
    <col min="3077" max="3077" width="7.140625" style="279" customWidth="1"/>
    <col min="3078" max="3078" width="6.85546875" style="279" customWidth="1"/>
    <col min="3079" max="3079" width="11.7109375" style="279" customWidth="1"/>
    <col min="3080" max="3080" width="11.5703125" style="279" customWidth="1"/>
    <col min="3081" max="3081" width="9.140625" style="279"/>
    <col min="3082" max="3082" width="10.5703125" style="279" bestFit="1" customWidth="1"/>
    <col min="3083" max="3083" width="9.140625" style="279"/>
    <col min="3084" max="3084" width="12.140625" style="279" customWidth="1"/>
    <col min="3085" max="3326" width="9.140625" style="279"/>
    <col min="3327" max="3327" width="4" style="279" customWidth="1"/>
    <col min="3328" max="3328" width="10.5703125" style="279" customWidth="1"/>
    <col min="3329" max="3329" width="11.140625" style="279" customWidth="1"/>
    <col min="3330" max="3330" width="8.7109375" style="279" customWidth="1"/>
    <col min="3331" max="3331" width="8" style="279" customWidth="1"/>
    <col min="3332" max="3332" width="10.28515625" style="279" customWidth="1"/>
    <col min="3333" max="3333" width="7.140625" style="279" customWidth="1"/>
    <col min="3334" max="3334" width="6.85546875" style="279" customWidth="1"/>
    <col min="3335" max="3335" width="11.7109375" style="279" customWidth="1"/>
    <col min="3336" max="3336" width="11.5703125" style="279" customWidth="1"/>
    <col min="3337" max="3337" width="9.140625" style="279"/>
    <col min="3338" max="3338" width="10.5703125" style="279" bestFit="1" customWidth="1"/>
    <col min="3339" max="3339" width="9.140625" style="279"/>
    <col min="3340" max="3340" width="12.140625" style="279" customWidth="1"/>
    <col min="3341" max="3582" width="9.140625" style="279"/>
    <col min="3583" max="3583" width="4" style="279" customWidth="1"/>
    <col min="3584" max="3584" width="10.5703125" style="279" customWidth="1"/>
    <col min="3585" max="3585" width="11.140625" style="279" customWidth="1"/>
    <col min="3586" max="3586" width="8.7109375" style="279" customWidth="1"/>
    <col min="3587" max="3587" width="8" style="279" customWidth="1"/>
    <col min="3588" max="3588" width="10.28515625" style="279" customWidth="1"/>
    <col min="3589" max="3589" width="7.140625" style="279" customWidth="1"/>
    <col min="3590" max="3590" width="6.85546875" style="279" customWidth="1"/>
    <col min="3591" max="3591" width="11.7109375" style="279" customWidth="1"/>
    <col min="3592" max="3592" width="11.5703125" style="279" customWidth="1"/>
    <col min="3593" max="3593" width="9.140625" style="279"/>
    <col min="3594" max="3594" width="10.5703125" style="279" bestFit="1" customWidth="1"/>
    <col min="3595" max="3595" width="9.140625" style="279"/>
    <col min="3596" max="3596" width="12.140625" style="279" customWidth="1"/>
    <col min="3597" max="3838" width="9.140625" style="279"/>
    <col min="3839" max="3839" width="4" style="279" customWidth="1"/>
    <col min="3840" max="3840" width="10.5703125" style="279" customWidth="1"/>
    <col min="3841" max="3841" width="11.140625" style="279" customWidth="1"/>
    <col min="3842" max="3842" width="8.7109375" style="279" customWidth="1"/>
    <col min="3843" max="3843" width="8" style="279" customWidth="1"/>
    <col min="3844" max="3844" width="10.28515625" style="279" customWidth="1"/>
    <col min="3845" max="3845" width="7.140625" style="279" customWidth="1"/>
    <col min="3846" max="3846" width="6.85546875" style="279" customWidth="1"/>
    <col min="3847" max="3847" width="11.7109375" style="279" customWidth="1"/>
    <col min="3848" max="3848" width="11.5703125" style="279" customWidth="1"/>
    <col min="3849" max="3849" width="9.140625" style="279"/>
    <col min="3850" max="3850" width="10.5703125" style="279" bestFit="1" customWidth="1"/>
    <col min="3851" max="3851" width="9.140625" style="279"/>
    <col min="3852" max="3852" width="12.140625" style="279" customWidth="1"/>
    <col min="3853" max="4094" width="9.140625" style="279"/>
    <col min="4095" max="4095" width="4" style="279" customWidth="1"/>
    <col min="4096" max="4096" width="10.5703125" style="279" customWidth="1"/>
    <col min="4097" max="4097" width="11.140625" style="279" customWidth="1"/>
    <col min="4098" max="4098" width="8.7109375" style="279" customWidth="1"/>
    <col min="4099" max="4099" width="8" style="279" customWidth="1"/>
    <col min="4100" max="4100" width="10.28515625" style="279" customWidth="1"/>
    <col min="4101" max="4101" width="7.140625" style="279" customWidth="1"/>
    <col min="4102" max="4102" width="6.85546875" style="279" customWidth="1"/>
    <col min="4103" max="4103" width="11.7109375" style="279" customWidth="1"/>
    <col min="4104" max="4104" width="11.5703125" style="279" customWidth="1"/>
    <col min="4105" max="4105" width="9.140625" style="279"/>
    <col min="4106" max="4106" width="10.5703125" style="279" bestFit="1" customWidth="1"/>
    <col min="4107" max="4107" width="9.140625" style="279"/>
    <col min="4108" max="4108" width="12.140625" style="279" customWidth="1"/>
    <col min="4109" max="4350" width="9.140625" style="279"/>
    <col min="4351" max="4351" width="4" style="279" customWidth="1"/>
    <col min="4352" max="4352" width="10.5703125" style="279" customWidth="1"/>
    <col min="4353" max="4353" width="11.140625" style="279" customWidth="1"/>
    <col min="4354" max="4354" width="8.7109375" style="279" customWidth="1"/>
    <col min="4355" max="4355" width="8" style="279" customWidth="1"/>
    <col min="4356" max="4356" width="10.28515625" style="279" customWidth="1"/>
    <col min="4357" max="4357" width="7.140625" style="279" customWidth="1"/>
    <col min="4358" max="4358" width="6.85546875" style="279" customWidth="1"/>
    <col min="4359" max="4359" width="11.7109375" style="279" customWidth="1"/>
    <col min="4360" max="4360" width="11.5703125" style="279" customWidth="1"/>
    <col min="4361" max="4361" width="9.140625" style="279"/>
    <col min="4362" max="4362" width="10.5703125" style="279" bestFit="1" customWidth="1"/>
    <col min="4363" max="4363" width="9.140625" style="279"/>
    <col min="4364" max="4364" width="12.140625" style="279" customWidth="1"/>
    <col min="4365" max="4606" width="9.140625" style="279"/>
    <col min="4607" max="4607" width="4" style="279" customWidth="1"/>
    <col min="4608" max="4608" width="10.5703125" style="279" customWidth="1"/>
    <col min="4609" max="4609" width="11.140625" style="279" customWidth="1"/>
    <col min="4610" max="4610" width="8.7109375" style="279" customWidth="1"/>
    <col min="4611" max="4611" width="8" style="279" customWidth="1"/>
    <col min="4612" max="4612" width="10.28515625" style="279" customWidth="1"/>
    <col min="4613" max="4613" width="7.140625" style="279" customWidth="1"/>
    <col min="4614" max="4614" width="6.85546875" style="279" customWidth="1"/>
    <col min="4615" max="4615" width="11.7109375" style="279" customWidth="1"/>
    <col min="4616" max="4616" width="11.5703125" style="279" customWidth="1"/>
    <col min="4617" max="4617" width="9.140625" style="279"/>
    <col min="4618" max="4618" width="10.5703125" style="279" bestFit="1" customWidth="1"/>
    <col min="4619" max="4619" width="9.140625" style="279"/>
    <col min="4620" max="4620" width="12.140625" style="279" customWidth="1"/>
    <col min="4621" max="4862" width="9.140625" style="279"/>
    <col min="4863" max="4863" width="4" style="279" customWidth="1"/>
    <col min="4864" max="4864" width="10.5703125" style="279" customWidth="1"/>
    <col min="4865" max="4865" width="11.140625" style="279" customWidth="1"/>
    <col min="4866" max="4866" width="8.7109375" style="279" customWidth="1"/>
    <col min="4867" max="4867" width="8" style="279" customWidth="1"/>
    <col min="4868" max="4868" width="10.28515625" style="279" customWidth="1"/>
    <col min="4869" max="4869" width="7.140625" style="279" customWidth="1"/>
    <col min="4870" max="4870" width="6.85546875" style="279" customWidth="1"/>
    <col min="4871" max="4871" width="11.7109375" style="279" customWidth="1"/>
    <col min="4872" max="4872" width="11.5703125" style="279" customWidth="1"/>
    <col min="4873" max="4873" width="9.140625" style="279"/>
    <col min="4874" max="4874" width="10.5703125" style="279" bestFit="1" customWidth="1"/>
    <col min="4875" max="4875" width="9.140625" style="279"/>
    <col min="4876" max="4876" width="12.140625" style="279" customWidth="1"/>
    <col min="4877" max="5118" width="9.140625" style="279"/>
    <col min="5119" max="5119" width="4" style="279" customWidth="1"/>
    <col min="5120" max="5120" width="10.5703125" style="279" customWidth="1"/>
    <col min="5121" max="5121" width="11.140625" style="279" customWidth="1"/>
    <col min="5122" max="5122" width="8.7109375" style="279" customWidth="1"/>
    <col min="5123" max="5123" width="8" style="279" customWidth="1"/>
    <col min="5124" max="5124" width="10.28515625" style="279" customWidth="1"/>
    <col min="5125" max="5125" width="7.140625" style="279" customWidth="1"/>
    <col min="5126" max="5126" width="6.85546875" style="279" customWidth="1"/>
    <col min="5127" max="5127" width="11.7109375" style="279" customWidth="1"/>
    <col min="5128" max="5128" width="11.5703125" style="279" customWidth="1"/>
    <col min="5129" max="5129" width="9.140625" style="279"/>
    <col min="5130" max="5130" width="10.5703125" style="279" bestFit="1" customWidth="1"/>
    <col min="5131" max="5131" width="9.140625" style="279"/>
    <col min="5132" max="5132" width="12.140625" style="279" customWidth="1"/>
    <col min="5133" max="5374" width="9.140625" style="279"/>
    <col min="5375" max="5375" width="4" style="279" customWidth="1"/>
    <col min="5376" max="5376" width="10.5703125" style="279" customWidth="1"/>
    <col min="5377" max="5377" width="11.140625" style="279" customWidth="1"/>
    <col min="5378" max="5378" width="8.7109375" style="279" customWidth="1"/>
    <col min="5379" max="5379" width="8" style="279" customWidth="1"/>
    <col min="5380" max="5380" width="10.28515625" style="279" customWidth="1"/>
    <col min="5381" max="5381" width="7.140625" style="279" customWidth="1"/>
    <col min="5382" max="5382" width="6.85546875" style="279" customWidth="1"/>
    <col min="5383" max="5383" width="11.7109375" style="279" customWidth="1"/>
    <col min="5384" max="5384" width="11.5703125" style="279" customWidth="1"/>
    <col min="5385" max="5385" width="9.140625" style="279"/>
    <col min="5386" max="5386" width="10.5703125" style="279" bestFit="1" customWidth="1"/>
    <col min="5387" max="5387" width="9.140625" style="279"/>
    <col min="5388" max="5388" width="12.140625" style="279" customWidth="1"/>
    <col min="5389" max="5630" width="9.140625" style="279"/>
    <col min="5631" max="5631" width="4" style="279" customWidth="1"/>
    <col min="5632" max="5632" width="10.5703125" style="279" customWidth="1"/>
    <col min="5633" max="5633" width="11.140625" style="279" customWidth="1"/>
    <col min="5634" max="5634" width="8.7109375" style="279" customWidth="1"/>
    <col min="5635" max="5635" width="8" style="279" customWidth="1"/>
    <col min="5636" max="5636" width="10.28515625" style="279" customWidth="1"/>
    <col min="5637" max="5637" width="7.140625" style="279" customWidth="1"/>
    <col min="5638" max="5638" width="6.85546875" style="279" customWidth="1"/>
    <col min="5639" max="5639" width="11.7109375" style="279" customWidth="1"/>
    <col min="5640" max="5640" width="11.5703125" style="279" customWidth="1"/>
    <col min="5641" max="5641" width="9.140625" style="279"/>
    <col min="5642" max="5642" width="10.5703125" style="279" bestFit="1" customWidth="1"/>
    <col min="5643" max="5643" width="9.140625" style="279"/>
    <col min="5644" max="5644" width="12.140625" style="279" customWidth="1"/>
    <col min="5645" max="5886" width="9.140625" style="279"/>
    <col min="5887" max="5887" width="4" style="279" customWidth="1"/>
    <col min="5888" max="5888" width="10.5703125" style="279" customWidth="1"/>
    <col min="5889" max="5889" width="11.140625" style="279" customWidth="1"/>
    <col min="5890" max="5890" width="8.7109375" style="279" customWidth="1"/>
    <col min="5891" max="5891" width="8" style="279" customWidth="1"/>
    <col min="5892" max="5892" width="10.28515625" style="279" customWidth="1"/>
    <col min="5893" max="5893" width="7.140625" style="279" customWidth="1"/>
    <col min="5894" max="5894" width="6.85546875" style="279" customWidth="1"/>
    <col min="5895" max="5895" width="11.7109375" style="279" customWidth="1"/>
    <col min="5896" max="5896" width="11.5703125" style="279" customWidth="1"/>
    <col min="5897" max="5897" width="9.140625" style="279"/>
    <col min="5898" max="5898" width="10.5703125" style="279" bestFit="1" customWidth="1"/>
    <col min="5899" max="5899" width="9.140625" style="279"/>
    <col min="5900" max="5900" width="12.140625" style="279" customWidth="1"/>
    <col min="5901" max="6142" width="9.140625" style="279"/>
    <col min="6143" max="6143" width="4" style="279" customWidth="1"/>
    <col min="6144" max="6144" width="10.5703125" style="279" customWidth="1"/>
    <col min="6145" max="6145" width="11.140625" style="279" customWidth="1"/>
    <col min="6146" max="6146" width="8.7109375" style="279" customWidth="1"/>
    <col min="6147" max="6147" width="8" style="279" customWidth="1"/>
    <col min="6148" max="6148" width="10.28515625" style="279" customWidth="1"/>
    <col min="6149" max="6149" width="7.140625" style="279" customWidth="1"/>
    <col min="6150" max="6150" width="6.85546875" style="279" customWidth="1"/>
    <col min="6151" max="6151" width="11.7109375" style="279" customWidth="1"/>
    <col min="6152" max="6152" width="11.5703125" style="279" customWidth="1"/>
    <col min="6153" max="6153" width="9.140625" style="279"/>
    <col min="6154" max="6154" width="10.5703125" style="279" bestFit="1" customWidth="1"/>
    <col min="6155" max="6155" width="9.140625" style="279"/>
    <col min="6156" max="6156" width="12.140625" style="279" customWidth="1"/>
    <col min="6157" max="6398" width="9.140625" style="279"/>
    <col min="6399" max="6399" width="4" style="279" customWidth="1"/>
    <col min="6400" max="6400" width="10.5703125" style="279" customWidth="1"/>
    <col min="6401" max="6401" width="11.140625" style="279" customWidth="1"/>
    <col min="6402" max="6402" width="8.7109375" style="279" customWidth="1"/>
    <col min="6403" max="6403" width="8" style="279" customWidth="1"/>
    <col min="6404" max="6404" width="10.28515625" style="279" customWidth="1"/>
    <col min="6405" max="6405" width="7.140625" style="279" customWidth="1"/>
    <col min="6406" max="6406" width="6.85546875" style="279" customWidth="1"/>
    <col min="6407" max="6407" width="11.7109375" style="279" customWidth="1"/>
    <col min="6408" max="6408" width="11.5703125" style="279" customWidth="1"/>
    <col min="6409" max="6409" width="9.140625" style="279"/>
    <col min="6410" max="6410" width="10.5703125" style="279" bestFit="1" customWidth="1"/>
    <col min="6411" max="6411" width="9.140625" style="279"/>
    <col min="6412" max="6412" width="12.140625" style="279" customWidth="1"/>
    <col min="6413" max="6654" width="9.140625" style="279"/>
    <col min="6655" max="6655" width="4" style="279" customWidth="1"/>
    <col min="6656" max="6656" width="10.5703125" style="279" customWidth="1"/>
    <col min="6657" max="6657" width="11.140625" style="279" customWidth="1"/>
    <col min="6658" max="6658" width="8.7109375" style="279" customWidth="1"/>
    <col min="6659" max="6659" width="8" style="279" customWidth="1"/>
    <col min="6660" max="6660" width="10.28515625" style="279" customWidth="1"/>
    <col min="6661" max="6661" width="7.140625" style="279" customWidth="1"/>
    <col min="6662" max="6662" width="6.85546875" style="279" customWidth="1"/>
    <col min="6663" max="6663" width="11.7109375" style="279" customWidth="1"/>
    <col min="6664" max="6664" width="11.5703125" style="279" customWidth="1"/>
    <col min="6665" max="6665" width="9.140625" style="279"/>
    <col min="6666" max="6666" width="10.5703125" style="279" bestFit="1" customWidth="1"/>
    <col min="6667" max="6667" width="9.140625" style="279"/>
    <col min="6668" max="6668" width="12.140625" style="279" customWidth="1"/>
    <col min="6669" max="6910" width="9.140625" style="279"/>
    <col min="6911" max="6911" width="4" style="279" customWidth="1"/>
    <col min="6912" max="6912" width="10.5703125" style="279" customWidth="1"/>
    <col min="6913" max="6913" width="11.140625" style="279" customWidth="1"/>
    <col min="6914" max="6914" width="8.7109375" style="279" customWidth="1"/>
    <col min="6915" max="6915" width="8" style="279" customWidth="1"/>
    <col min="6916" max="6916" width="10.28515625" style="279" customWidth="1"/>
    <col min="6917" max="6917" width="7.140625" style="279" customWidth="1"/>
    <col min="6918" max="6918" width="6.85546875" style="279" customWidth="1"/>
    <col min="6919" max="6919" width="11.7109375" style="279" customWidth="1"/>
    <col min="6920" max="6920" width="11.5703125" style="279" customWidth="1"/>
    <col min="6921" max="6921" width="9.140625" style="279"/>
    <col min="6922" max="6922" width="10.5703125" style="279" bestFit="1" customWidth="1"/>
    <col min="6923" max="6923" width="9.140625" style="279"/>
    <col min="6924" max="6924" width="12.140625" style="279" customWidth="1"/>
    <col min="6925" max="7166" width="9.140625" style="279"/>
    <col min="7167" max="7167" width="4" style="279" customWidth="1"/>
    <col min="7168" max="7168" width="10.5703125" style="279" customWidth="1"/>
    <col min="7169" max="7169" width="11.140625" style="279" customWidth="1"/>
    <col min="7170" max="7170" width="8.7109375" style="279" customWidth="1"/>
    <col min="7171" max="7171" width="8" style="279" customWidth="1"/>
    <col min="7172" max="7172" width="10.28515625" style="279" customWidth="1"/>
    <col min="7173" max="7173" width="7.140625" style="279" customWidth="1"/>
    <col min="7174" max="7174" width="6.85546875" style="279" customWidth="1"/>
    <col min="7175" max="7175" width="11.7109375" style="279" customWidth="1"/>
    <col min="7176" max="7176" width="11.5703125" style="279" customWidth="1"/>
    <col min="7177" max="7177" width="9.140625" style="279"/>
    <col min="7178" max="7178" width="10.5703125" style="279" bestFit="1" customWidth="1"/>
    <col min="7179" max="7179" width="9.140625" style="279"/>
    <col min="7180" max="7180" width="12.140625" style="279" customWidth="1"/>
    <col min="7181" max="7422" width="9.140625" style="279"/>
    <col min="7423" max="7423" width="4" style="279" customWidth="1"/>
    <col min="7424" max="7424" width="10.5703125" style="279" customWidth="1"/>
    <col min="7425" max="7425" width="11.140625" style="279" customWidth="1"/>
    <col min="7426" max="7426" width="8.7109375" style="279" customWidth="1"/>
    <col min="7427" max="7427" width="8" style="279" customWidth="1"/>
    <col min="7428" max="7428" width="10.28515625" style="279" customWidth="1"/>
    <col min="7429" max="7429" width="7.140625" style="279" customWidth="1"/>
    <col min="7430" max="7430" width="6.85546875" style="279" customWidth="1"/>
    <col min="7431" max="7431" width="11.7109375" style="279" customWidth="1"/>
    <col min="7432" max="7432" width="11.5703125" style="279" customWidth="1"/>
    <col min="7433" max="7433" width="9.140625" style="279"/>
    <col min="7434" max="7434" width="10.5703125" style="279" bestFit="1" customWidth="1"/>
    <col min="7435" max="7435" width="9.140625" style="279"/>
    <col min="7436" max="7436" width="12.140625" style="279" customWidth="1"/>
    <col min="7437" max="7678" width="9.140625" style="279"/>
    <col min="7679" max="7679" width="4" style="279" customWidth="1"/>
    <col min="7680" max="7680" width="10.5703125" style="279" customWidth="1"/>
    <col min="7681" max="7681" width="11.140625" style="279" customWidth="1"/>
    <col min="7682" max="7682" width="8.7109375" style="279" customWidth="1"/>
    <col min="7683" max="7683" width="8" style="279" customWidth="1"/>
    <col min="7684" max="7684" width="10.28515625" style="279" customWidth="1"/>
    <col min="7685" max="7685" width="7.140625" style="279" customWidth="1"/>
    <col min="7686" max="7686" width="6.85546875" style="279" customWidth="1"/>
    <col min="7687" max="7687" width="11.7109375" style="279" customWidth="1"/>
    <col min="7688" max="7688" width="11.5703125" style="279" customWidth="1"/>
    <col min="7689" max="7689" width="9.140625" style="279"/>
    <col min="7690" max="7690" width="10.5703125" style="279" bestFit="1" customWidth="1"/>
    <col min="7691" max="7691" width="9.140625" style="279"/>
    <col min="7692" max="7692" width="12.140625" style="279" customWidth="1"/>
    <col min="7693" max="7934" width="9.140625" style="279"/>
    <col min="7935" max="7935" width="4" style="279" customWidth="1"/>
    <col min="7936" max="7936" width="10.5703125" style="279" customWidth="1"/>
    <col min="7937" max="7937" width="11.140625" style="279" customWidth="1"/>
    <col min="7938" max="7938" width="8.7109375" style="279" customWidth="1"/>
    <col min="7939" max="7939" width="8" style="279" customWidth="1"/>
    <col min="7940" max="7940" width="10.28515625" style="279" customWidth="1"/>
    <col min="7941" max="7941" width="7.140625" style="279" customWidth="1"/>
    <col min="7942" max="7942" width="6.85546875" style="279" customWidth="1"/>
    <col min="7943" max="7943" width="11.7109375" style="279" customWidth="1"/>
    <col min="7944" max="7944" width="11.5703125" style="279" customWidth="1"/>
    <col min="7945" max="7945" width="9.140625" style="279"/>
    <col min="7946" max="7946" width="10.5703125" style="279" bestFit="1" customWidth="1"/>
    <col min="7947" max="7947" width="9.140625" style="279"/>
    <col min="7948" max="7948" width="12.140625" style="279" customWidth="1"/>
    <col min="7949" max="8190" width="9.140625" style="279"/>
    <col min="8191" max="8191" width="4" style="279" customWidth="1"/>
    <col min="8192" max="8192" width="10.5703125" style="279" customWidth="1"/>
    <col min="8193" max="8193" width="11.140625" style="279" customWidth="1"/>
    <col min="8194" max="8194" width="8.7109375" style="279" customWidth="1"/>
    <col min="8195" max="8195" width="8" style="279" customWidth="1"/>
    <col min="8196" max="8196" width="10.28515625" style="279" customWidth="1"/>
    <col min="8197" max="8197" width="7.140625" style="279" customWidth="1"/>
    <col min="8198" max="8198" width="6.85546875" style="279" customWidth="1"/>
    <col min="8199" max="8199" width="11.7109375" style="279" customWidth="1"/>
    <col min="8200" max="8200" width="11.5703125" style="279" customWidth="1"/>
    <col min="8201" max="8201" width="9.140625" style="279"/>
    <col min="8202" max="8202" width="10.5703125" style="279" bestFit="1" customWidth="1"/>
    <col min="8203" max="8203" width="9.140625" style="279"/>
    <col min="8204" max="8204" width="12.140625" style="279" customWidth="1"/>
    <col min="8205" max="8446" width="9.140625" style="279"/>
    <col min="8447" max="8447" width="4" style="279" customWidth="1"/>
    <col min="8448" max="8448" width="10.5703125" style="279" customWidth="1"/>
    <col min="8449" max="8449" width="11.140625" style="279" customWidth="1"/>
    <col min="8450" max="8450" width="8.7109375" style="279" customWidth="1"/>
    <col min="8451" max="8451" width="8" style="279" customWidth="1"/>
    <col min="8452" max="8452" width="10.28515625" style="279" customWidth="1"/>
    <col min="8453" max="8453" width="7.140625" style="279" customWidth="1"/>
    <col min="8454" max="8454" width="6.85546875" style="279" customWidth="1"/>
    <col min="8455" max="8455" width="11.7109375" style="279" customWidth="1"/>
    <col min="8456" max="8456" width="11.5703125" style="279" customWidth="1"/>
    <col min="8457" max="8457" width="9.140625" style="279"/>
    <col min="8458" max="8458" width="10.5703125" style="279" bestFit="1" customWidth="1"/>
    <col min="8459" max="8459" width="9.140625" style="279"/>
    <col min="8460" max="8460" width="12.140625" style="279" customWidth="1"/>
    <col min="8461" max="8702" width="9.140625" style="279"/>
    <col min="8703" max="8703" width="4" style="279" customWidth="1"/>
    <col min="8704" max="8704" width="10.5703125" style="279" customWidth="1"/>
    <col min="8705" max="8705" width="11.140625" style="279" customWidth="1"/>
    <col min="8706" max="8706" width="8.7109375" style="279" customWidth="1"/>
    <col min="8707" max="8707" width="8" style="279" customWidth="1"/>
    <col min="8708" max="8708" width="10.28515625" style="279" customWidth="1"/>
    <col min="8709" max="8709" width="7.140625" style="279" customWidth="1"/>
    <col min="8710" max="8710" width="6.85546875" style="279" customWidth="1"/>
    <col min="8711" max="8711" width="11.7109375" style="279" customWidth="1"/>
    <col min="8712" max="8712" width="11.5703125" style="279" customWidth="1"/>
    <col min="8713" max="8713" width="9.140625" style="279"/>
    <col min="8714" max="8714" width="10.5703125" style="279" bestFit="1" customWidth="1"/>
    <col min="8715" max="8715" width="9.140625" style="279"/>
    <col min="8716" max="8716" width="12.140625" style="279" customWidth="1"/>
    <col min="8717" max="8958" width="9.140625" style="279"/>
    <col min="8959" max="8959" width="4" style="279" customWidth="1"/>
    <col min="8960" max="8960" width="10.5703125" style="279" customWidth="1"/>
    <col min="8961" max="8961" width="11.140625" style="279" customWidth="1"/>
    <col min="8962" max="8962" width="8.7109375" style="279" customWidth="1"/>
    <col min="8963" max="8963" width="8" style="279" customWidth="1"/>
    <col min="8964" max="8964" width="10.28515625" style="279" customWidth="1"/>
    <col min="8965" max="8965" width="7.140625" style="279" customWidth="1"/>
    <col min="8966" max="8966" width="6.85546875" style="279" customWidth="1"/>
    <col min="8967" max="8967" width="11.7109375" style="279" customWidth="1"/>
    <col min="8968" max="8968" width="11.5703125" style="279" customWidth="1"/>
    <col min="8969" max="8969" width="9.140625" style="279"/>
    <col min="8970" max="8970" width="10.5703125" style="279" bestFit="1" customWidth="1"/>
    <col min="8971" max="8971" width="9.140625" style="279"/>
    <col min="8972" max="8972" width="12.140625" style="279" customWidth="1"/>
    <col min="8973" max="9214" width="9.140625" style="279"/>
    <col min="9215" max="9215" width="4" style="279" customWidth="1"/>
    <col min="9216" max="9216" width="10.5703125" style="279" customWidth="1"/>
    <col min="9217" max="9217" width="11.140625" style="279" customWidth="1"/>
    <col min="9218" max="9218" width="8.7109375" style="279" customWidth="1"/>
    <col min="9219" max="9219" width="8" style="279" customWidth="1"/>
    <col min="9220" max="9220" width="10.28515625" style="279" customWidth="1"/>
    <col min="9221" max="9221" width="7.140625" style="279" customWidth="1"/>
    <col min="9222" max="9222" width="6.85546875" style="279" customWidth="1"/>
    <col min="9223" max="9223" width="11.7109375" style="279" customWidth="1"/>
    <col min="9224" max="9224" width="11.5703125" style="279" customWidth="1"/>
    <col min="9225" max="9225" width="9.140625" style="279"/>
    <col min="9226" max="9226" width="10.5703125" style="279" bestFit="1" customWidth="1"/>
    <col min="9227" max="9227" width="9.140625" style="279"/>
    <col min="9228" max="9228" width="12.140625" style="279" customWidth="1"/>
    <col min="9229" max="9470" width="9.140625" style="279"/>
    <col min="9471" max="9471" width="4" style="279" customWidth="1"/>
    <col min="9472" max="9472" width="10.5703125" style="279" customWidth="1"/>
    <col min="9473" max="9473" width="11.140625" style="279" customWidth="1"/>
    <col min="9474" max="9474" width="8.7109375" style="279" customWidth="1"/>
    <col min="9475" max="9475" width="8" style="279" customWidth="1"/>
    <col min="9476" max="9476" width="10.28515625" style="279" customWidth="1"/>
    <col min="9477" max="9477" width="7.140625" style="279" customWidth="1"/>
    <col min="9478" max="9478" width="6.85546875" style="279" customWidth="1"/>
    <col min="9479" max="9479" width="11.7109375" style="279" customWidth="1"/>
    <col min="9480" max="9480" width="11.5703125" style="279" customWidth="1"/>
    <col min="9481" max="9481" width="9.140625" style="279"/>
    <col min="9482" max="9482" width="10.5703125" style="279" bestFit="1" customWidth="1"/>
    <col min="9483" max="9483" width="9.140625" style="279"/>
    <col min="9484" max="9484" width="12.140625" style="279" customWidth="1"/>
    <col min="9485" max="9726" width="9.140625" style="279"/>
    <col min="9727" max="9727" width="4" style="279" customWidth="1"/>
    <col min="9728" max="9728" width="10.5703125" style="279" customWidth="1"/>
    <col min="9729" max="9729" width="11.140625" style="279" customWidth="1"/>
    <col min="9730" max="9730" width="8.7109375" style="279" customWidth="1"/>
    <col min="9731" max="9731" width="8" style="279" customWidth="1"/>
    <col min="9732" max="9732" width="10.28515625" style="279" customWidth="1"/>
    <col min="9733" max="9733" width="7.140625" style="279" customWidth="1"/>
    <col min="9734" max="9734" width="6.85546875" style="279" customWidth="1"/>
    <col min="9735" max="9735" width="11.7109375" style="279" customWidth="1"/>
    <col min="9736" max="9736" width="11.5703125" style="279" customWidth="1"/>
    <col min="9737" max="9737" width="9.140625" style="279"/>
    <col min="9738" max="9738" width="10.5703125" style="279" bestFit="1" customWidth="1"/>
    <col min="9739" max="9739" width="9.140625" style="279"/>
    <col min="9740" max="9740" width="12.140625" style="279" customWidth="1"/>
    <col min="9741" max="9982" width="9.140625" style="279"/>
    <col min="9983" max="9983" width="4" style="279" customWidth="1"/>
    <col min="9984" max="9984" width="10.5703125" style="279" customWidth="1"/>
    <col min="9985" max="9985" width="11.140625" style="279" customWidth="1"/>
    <col min="9986" max="9986" width="8.7109375" style="279" customWidth="1"/>
    <col min="9987" max="9987" width="8" style="279" customWidth="1"/>
    <col min="9988" max="9988" width="10.28515625" style="279" customWidth="1"/>
    <col min="9989" max="9989" width="7.140625" style="279" customWidth="1"/>
    <col min="9990" max="9990" width="6.85546875" style="279" customWidth="1"/>
    <col min="9991" max="9991" width="11.7109375" style="279" customWidth="1"/>
    <col min="9992" max="9992" width="11.5703125" style="279" customWidth="1"/>
    <col min="9993" max="9993" width="9.140625" style="279"/>
    <col min="9994" max="9994" width="10.5703125" style="279" bestFit="1" customWidth="1"/>
    <col min="9995" max="9995" width="9.140625" style="279"/>
    <col min="9996" max="9996" width="12.140625" style="279" customWidth="1"/>
    <col min="9997" max="10238" width="9.140625" style="279"/>
    <col min="10239" max="10239" width="4" style="279" customWidth="1"/>
    <col min="10240" max="10240" width="10.5703125" style="279" customWidth="1"/>
    <col min="10241" max="10241" width="11.140625" style="279" customWidth="1"/>
    <col min="10242" max="10242" width="8.7109375" style="279" customWidth="1"/>
    <col min="10243" max="10243" width="8" style="279" customWidth="1"/>
    <col min="10244" max="10244" width="10.28515625" style="279" customWidth="1"/>
    <col min="10245" max="10245" width="7.140625" style="279" customWidth="1"/>
    <col min="10246" max="10246" width="6.85546875" style="279" customWidth="1"/>
    <col min="10247" max="10247" width="11.7109375" style="279" customWidth="1"/>
    <col min="10248" max="10248" width="11.5703125" style="279" customWidth="1"/>
    <col min="10249" max="10249" width="9.140625" style="279"/>
    <col min="10250" max="10250" width="10.5703125" style="279" bestFit="1" customWidth="1"/>
    <col min="10251" max="10251" width="9.140625" style="279"/>
    <col min="10252" max="10252" width="12.140625" style="279" customWidth="1"/>
    <col min="10253" max="10494" width="9.140625" style="279"/>
    <col min="10495" max="10495" width="4" style="279" customWidth="1"/>
    <col min="10496" max="10496" width="10.5703125" style="279" customWidth="1"/>
    <col min="10497" max="10497" width="11.140625" style="279" customWidth="1"/>
    <col min="10498" max="10498" width="8.7109375" style="279" customWidth="1"/>
    <col min="10499" max="10499" width="8" style="279" customWidth="1"/>
    <col min="10500" max="10500" width="10.28515625" style="279" customWidth="1"/>
    <col min="10501" max="10501" width="7.140625" style="279" customWidth="1"/>
    <col min="10502" max="10502" width="6.85546875" style="279" customWidth="1"/>
    <col min="10503" max="10503" width="11.7109375" style="279" customWidth="1"/>
    <col min="10504" max="10504" width="11.5703125" style="279" customWidth="1"/>
    <col min="10505" max="10505" width="9.140625" style="279"/>
    <col min="10506" max="10506" width="10.5703125" style="279" bestFit="1" customWidth="1"/>
    <col min="10507" max="10507" width="9.140625" style="279"/>
    <col min="10508" max="10508" width="12.140625" style="279" customWidth="1"/>
    <col min="10509" max="10750" width="9.140625" style="279"/>
    <col min="10751" max="10751" width="4" style="279" customWidth="1"/>
    <col min="10752" max="10752" width="10.5703125" style="279" customWidth="1"/>
    <col min="10753" max="10753" width="11.140625" style="279" customWidth="1"/>
    <col min="10754" max="10754" width="8.7109375" style="279" customWidth="1"/>
    <col min="10755" max="10755" width="8" style="279" customWidth="1"/>
    <col min="10756" max="10756" width="10.28515625" style="279" customWidth="1"/>
    <col min="10757" max="10757" width="7.140625" style="279" customWidth="1"/>
    <col min="10758" max="10758" width="6.85546875" style="279" customWidth="1"/>
    <col min="10759" max="10759" width="11.7109375" style="279" customWidth="1"/>
    <col min="10760" max="10760" width="11.5703125" style="279" customWidth="1"/>
    <col min="10761" max="10761" width="9.140625" style="279"/>
    <col min="10762" max="10762" width="10.5703125" style="279" bestFit="1" customWidth="1"/>
    <col min="10763" max="10763" width="9.140625" style="279"/>
    <col min="10764" max="10764" width="12.140625" style="279" customWidth="1"/>
    <col min="10765" max="11006" width="9.140625" style="279"/>
    <col min="11007" max="11007" width="4" style="279" customWidth="1"/>
    <col min="11008" max="11008" width="10.5703125" style="279" customWidth="1"/>
    <col min="11009" max="11009" width="11.140625" style="279" customWidth="1"/>
    <col min="11010" max="11010" width="8.7109375" style="279" customWidth="1"/>
    <col min="11011" max="11011" width="8" style="279" customWidth="1"/>
    <col min="11012" max="11012" width="10.28515625" style="279" customWidth="1"/>
    <col min="11013" max="11013" width="7.140625" style="279" customWidth="1"/>
    <col min="11014" max="11014" width="6.85546875" style="279" customWidth="1"/>
    <col min="11015" max="11015" width="11.7109375" style="279" customWidth="1"/>
    <col min="11016" max="11016" width="11.5703125" style="279" customWidth="1"/>
    <col min="11017" max="11017" width="9.140625" style="279"/>
    <col min="11018" max="11018" width="10.5703125" style="279" bestFit="1" customWidth="1"/>
    <col min="11019" max="11019" width="9.140625" style="279"/>
    <col min="11020" max="11020" width="12.140625" style="279" customWidth="1"/>
    <col min="11021" max="11262" width="9.140625" style="279"/>
    <col min="11263" max="11263" width="4" style="279" customWidth="1"/>
    <col min="11264" max="11264" width="10.5703125" style="279" customWidth="1"/>
    <col min="11265" max="11265" width="11.140625" style="279" customWidth="1"/>
    <col min="11266" max="11266" width="8.7109375" style="279" customWidth="1"/>
    <col min="11267" max="11267" width="8" style="279" customWidth="1"/>
    <col min="11268" max="11268" width="10.28515625" style="279" customWidth="1"/>
    <col min="11269" max="11269" width="7.140625" style="279" customWidth="1"/>
    <col min="11270" max="11270" width="6.85546875" style="279" customWidth="1"/>
    <col min="11271" max="11271" width="11.7109375" style="279" customWidth="1"/>
    <col min="11272" max="11272" width="11.5703125" style="279" customWidth="1"/>
    <col min="11273" max="11273" width="9.140625" style="279"/>
    <col min="11274" max="11274" width="10.5703125" style="279" bestFit="1" customWidth="1"/>
    <col min="11275" max="11275" width="9.140625" style="279"/>
    <col min="11276" max="11276" width="12.140625" style="279" customWidth="1"/>
    <col min="11277" max="11518" width="9.140625" style="279"/>
    <col min="11519" max="11519" width="4" style="279" customWidth="1"/>
    <col min="11520" max="11520" width="10.5703125" style="279" customWidth="1"/>
    <col min="11521" max="11521" width="11.140625" style="279" customWidth="1"/>
    <col min="11522" max="11522" width="8.7109375" style="279" customWidth="1"/>
    <col min="11523" max="11523" width="8" style="279" customWidth="1"/>
    <col min="11524" max="11524" width="10.28515625" style="279" customWidth="1"/>
    <col min="11525" max="11525" width="7.140625" style="279" customWidth="1"/>
    <col min="11526" max="11526" width="6.85546875" style="279" customWidth="1"/>
    <col min="11527" max="11527" width="11.7109375" style="279" customWidth="1"/>
    <col min="11528" max="11528" width="11.5703125" style="279" customWidth="1"/>
    <col min="11529" max="11529" width="9.140625" style="279"/>
    <col min="11530" max="11530" width="10.5703125" style="279" bestFit="1" customWidth="1"/>
    <col min="11531" max="11531" width="9.140625" style="279"/>
    <col min="11532" max="11532" width="12.140625" style="279" customWidth="1"/>
    <col min="11533" max="11774" width="9.140625" style="279"/>
    <col min="11775" max="11775" width="4" style="279" customWidth="1"/>
    <col min="11776" max="11776" width="10.5703125" style="279" customWidth="1"/>
    <col min="11777" max="11777" width="11.140625" style="279" customWidth="1"/>
    <col min="11778" max="11778" width="8.7109375" style="279" customWidth="1"/>
    <col min="11779" max="11779" width="8" style="279" customWidth="1"/>
    <col min="11780" max="11780" width="10.28515625" style="279" customWidth="1"/>
    <col min="11781" max="11781" width="7.140625" style="279" customWidth="1"/>
    <col min="11782" max="11782" width="6.85546875" style="279" customWidth="1"/>
    <col min="11783" max="11783" width="11.7109375" style="279" customWidth="1"/>
    <col min="11784" max="11784" width="11.5703125" style="279" customWidth="1"/>
    <col min="11785" max="11785" width="9.140625" style="279"/>
    <col min="11786" max="11786" width="10.5703125" style="279" bestFit="1" customWidth="1"/>
    <col min="11787" max="11787" width="9.140625" style="279"/>
    <col min="11788" max="11788" width="12.140625" style="279" customWidth="1"/>
    <col min="11789" max="12030" width="9.140625" style="279"/>
    <col min="12031" max="12031" width="4" style="279" customWidth="1"/>
    <col min="12032" max="12032" width="10.5703125" style="279" customWidth="1"/>
    <col min="12033" max="12033" width="11.140625" style="279" customWidth="1"/>
    <col min="12034" max="12034" width="8.7109375" style="279" customWidth="1"/>
    <col min="12035" max="12035" width="8" style="279" customWidth="1"/>
    <col min="12036" max="12036" width="10.28515625" style="279" customWidth="1"/>
    <col min="12037" max="12037" width="7.140625" style="279" customWidth="1"/>
    <col min="12038" max="12038" width="6.85546875" style="279" customWidth="1"/>
    <col min="12039" max="12039" width="11.7109375" style="279" customWidth="1"/>
    <col min="12040" max="12040" width="11.5703125" style="279" customWidth="1"/>
    <col min="12041" max="12041" width="9.140625" style="279"/>
    <col min="12042" max="12042" width="10.5703125" style="279" bestFit="1" customWidth="1"/>
    <col min="12043" max="12043" width="9.140625" style="279"/>
    <col min="12044" max="12044" width="12.140625" style="279" customWidth="1"/>
    <col min="12045" max="12286" width="9.140625" style="279"/>
    <col min="12287" max="12287" width="4" style="279" customWidth="1"/>
    <col min="12288" max="12288" width="10.5703125" style="279" customWidth="1"/>
    <col min="12289" max="12289" width="11.140625" style="279" customWidth="1"/>
    <col min="12290" max="12290" width="8.7109375" style="279" customWidth="1"/>
    <col min="12291" max="12291" width="8" style="279" customWidth="1"/>
    <col min="12292" max="12292" width="10.28515625" style="279" customWidth="1"/>
    <col min="12293" max="12293" width="7.140625" style="279" customWidth="1"/>
    <col min="12294" max="12294" width="6.85546875" style="279" customWidth="1"/>
    <col min="12295" max="12295" width="11.7109375" style="279" customWidth="1"/>
    <col min="12296" max="12296" width="11.5703125" style="279" customWidth="1"/>
    <col min="12297" max="12297" width="9.140625" style="279"/>
    <col min="12298" max="12298" width="10.5703125" style="279" bestFit="1" customWidth="1"/>
    <col min="12299" max="12299" width="9.140625" style="279"/>
    <col min="12300" max="12300" width="12.140625" style="279" customWidth="1"/>
    <col min="12301" max="12542" width="9.140625" style="279"/>
    <col min="12543" max="12543" width="4" style="279" customWidth="1"/>
    <col min="12544" max="12544" width="10.5703125" style="279" customWidth="1"/>
    <col min="12545" max="12545" width="11.140625" style="279" customWidth="1"/>
    <col min="12546" max="12546" width="8.7109375" style="279" customWidth="1"/>
    <col min="12547" max="12547" width="8" style="279" customWidth="1"/>
    <col min="12548" max="12548" width="10.28515625" style="279" customWidth="1"/>
    <col min="12549" max="12549" width="7.140625" style="279" customWidth="1"/>
    <col min="12550" max="12550" width="6.85546875" style="279" customWidth="1"/>
    <col min="12551" max="12551" width="11.7109375" style="279" customWidth="1"/>
    <col min="12552" max="12552" width="11.5703125" style="279" customWidth="1"/>
    <col min="12553" max="12553" width="9.140625" style="279"/>
    <col min="12554" max="12554" width="10.5703125" style="279" bestFit="1" customWidth="1"/>
    <col min="12555" max="12555" width="9.140625" style="279"/>
    <col min="12556" max="12556" width="12.140625" style="279" customWidth="1"/>
    <col min="12557" max="12798" width="9.140625" style="279"/>
    <col min="12799" max="12799" width="4" style="279" customWidth="1"/>
    <col min="12800" max="12800" width="10.5703125" style="279" customWidth="1"/>
    <col min="12801" max="12801" width="11.140625" style="279" customWidth="1"/>
    <col min="12802" max="12802" width="8.7109375" style="279" customWidth="1"/>
    <col min="12803" max="12803" width="8" style="279" customWidth="1"/>
    <col min="12804" max="12804" width="10.28515625" style="279" customWidth="1"/>
    <col min="12805" max="12805" width="7.140625" style="279" customWidth="1"/>
    <col min="12806" max="12806" width="6.85546875" style="279" customWidth="1"/>
    <col min="12807" max="12807" width="11.7109375" style="279" customWidth="1"/>
    <col min="12808" max="12808" width="11.5703125" style="279" customWidth="1"/>
    <col min="12809" max="12809" width="9.140625" style="279"/>
    <col min="12810" max="12810" width="10.5703125" style="279" bestFit="1" customWidth="1"/>
    <col min="12811" max="12811" width="9.140625" style="279"/>
    <col min="12812" max="12812" width="12.140625" style="279" customWidth="1"/>
    <col min="12813" max="13054" width="9.140625" style="279"/>
    <col min="13055" max="13055" width="4" style="279" customWidth="1"/>
    <col min="13056" max="13056" width="10.5703125" style="279" customWidth="1"/>
    <col min="13057" max="13057" width="11.140625" style="279" customWidth="1"/>
    <col min="13058" max="13058" width="8.7109375" style="279" customWidth="1"/>
    <col min="13059" max="13059" width="8" style="279" customWidth="1"/>
    <col min="13060" max="13060" width="10.28515625" style="279" customWidth="1"/>
    <col min="13061" max="13061" width="7.140625" style="279" customWidth="1"/>
    <col min="13062" max="13062" width="6.85546875" style="279" customWidth="1"/>
    <col min="13063" max="13063" width="11.7109375" style="279" customWidth="1"/>
    <col min="13064" max="13064" width="11.5703125" style="279" customWidth="1"/>
    <col min="13065" max="13065" width="9.140625" style="279"/>
    <col min="13066" max="13066" width="10.5703125" style="279" bestFit="1" customWidth="1"/>
    <col min="13067" max="13067" width="9.140625" style="279"/>
    <col min="13068" max="13068" width="12.140625" style="279" customWidth="1"/>
    <col min="13069" max="13310" width="9.140625" style="279"/>
    <col min="13311" max="13311" width="4" style="279" customWidth="1"/>
    <col min="13312" max="13312" width="10.5703125" style="279" customWidth="1"/>
    <col min="13313" max="13313" width="11.140625" style="279" customWidth="1"/>
    <col min="13314" max="13314" width="8.7109375" style="279" customWidth="1"/>
    <col min="13315" max="13315" width="8" style="279" customWidth="1"/>
    <col min="13316" max="13316" width="10.28515625" style="279" customWidth="1"/>
    <col min="13317" max="13317" width="7.140625" style="279" customWidth="1"/>
    <col min="13318" max="13318" width="6.85546875" style="279" customWidth="1"/>
    <col min="13319" max="13319" width="11.7109375" style="279" customWidth="1"/>
    <col min="13320" max="13320" width="11.5703125" style="279" customWidth="1"/>
    <col min="13321" max="13321" width="9.140625" style="279"/>
    <col min="13322" max="13322" width="10.5703125" style="279" bestFit="1" customWidth="1"/>
    <col min="13323" max="13323" width="9.140625" style="279"/>
    <col min="13324" max="13324" width="12.140625" style="279" customWidth="1"/>
    <col min="13325" max="13566" width="9.140625" style="279"/>
    <col min="13567" max="13567" width="4" style="279" customWidth="1"/>
    <col min="13568" max="13568" width="10.5703125" style="279" customWidth="1"/>
    <col min="13569" max="13569" width="11.140625" style="279" customWidth="1"/>
    <col min="13570" max="13570" width="8.7109375" style="279" customWidth="1"/>
    <col min="13571" max="13571" width="8" style="279" customWidth="1"/>
    <col min="13572" max="13572" width="10.28515625" style="279" customWidth="1"/>
    <col min="13573" max="13573" width="7.140625" style="279" customWidth="1"/>
    <col min="13574" max="13574" width="6.85546875" style="279" customWidth="1"/>
    <col min="13575" max="13575" width="11.7109375" style="279" customWidth="1"/>
    <col min="13576" max="13576" width="11.5703125" style="279" customWidth="1"/>
    <col min="13577" max="13577" width="9.140625" style="279"/>
    <col min="13578" max="13578" width="10.5703125" style="279" bestFit="1" customWidth="1"/>
    <col min="13579" max="13579" width="9.140625" style="279"/>
    <col min="13580" max="13580" width="12.140625" style="279" customWidth="1"/>
    <col min="13581" max="13822" width="9.140625" style="279"/>
    <col min="13823" max="13823" width="4" style="279" customWidth="1"/>
    <col min="13824" max="13824" width="10.5703125" style="279" customWidth="1"/>
    <col min="13825" max="13825" width="11.140625" style="279" customWidth="1"/>
    <col min="13826" max="13826" width="8.7109375" style="279" customWidth="1"/>
    <col min="13827" max="13827" width="8" style="279" customWidth="1"/>
    <col min="13828" max="13828" width="10.28515625" style="279" customWidth="1"/>
    <col min="13829" max="13829" width="7.140625" style="279" customWidth="1"/>
    <col min="13830" max="13830" width="6.85546875" style="279" customWidth="1"/>
    <col min="13831" max="13831" width="11.7109375" style="279" customWidth="1"/>
    <col min="13832" max="13832" width="11.5703125" style="279" customWidth="1"/>
    <col min="13833" max="13833" width="9.140625" style="279"/>
    <col min="13834" max="13834" width="10.5703125" style="279" bestFit="1" customWidth="1"/>
    <col min="13835" max="13835" width="9.140625" style="279"/>
    <col min="13836" max="13836" width="12.140625" style="279" customWidth="1"/>
    <col min="13837" max="14078" width="9.140625" style="279"/>
    <col min="14079" max="14079" width="4" style="279" customWidth="1"/>
    <col min="14080" max="14080" width="10.5703125" style="279" customWidth="1"/>
    <col min="14081" max="14081" width="11.140625" style="279" customWidth="1"/>
    <col min="14082" max="14082" width="8.7109375" style="279" customWidth="1"/>
    <col min="14083" max="14083" width="8" style="279" customWidth="1"/>
    <col min="14084" max="14084" width="10.28515625" style="279" customWidth="1"/>
    <col min="14085" max="14085" width="7.140625" style="279" customWidth="1"/>
    <col min="14086" max="14086" width="6.85546875" style="279" customWidth="1"/>
    <col min="14087" max="14087" width="11.7109375" style="279" customWidth="1"/>
    <col min="14088" max="14088" width="11.5703125" style="279" customWidth="1"/>
    <col min="14089" max="14089" width="9.140625" style="279"/>
    <col min="14090" max="14090" width="10.5703125" style="279" bestFit="1" customWidth="1"/>
    <col min="14091" max="14091" width="9.140625" style="279"/>
    <col min="14092" max="14092" width="12.140625" style="279" customWidth="1"/>
    <col min="14093" max="14334" width="9.140625" style="279"/>
    <col min="14335" max="14335" width="4" style="279" customWidth="1"/>
    <col min="14336" max="14336" width="10.5703125" style="279" customWidth="1"/>
    <col min="14337" max="14337" width="11.140625" style="279" customWidth="1"/>
    <col min="14338" max="14338" width="8.7109375" style="279" customWidth="1"/>
    <col min="14339" max="14339" width="8" style="279" customWidth="1"/>
    <col min="14340" max="14340" width="10.28515625" style="279" customWidth="1"/>
    <col min="14341" max="14341" width="7.140625" style="279" customWidth="1"/>
    <col min="14342" max="14342" width="6.85546875" style="279" customWidth="1"/>
    <col min="14343" max="14343" width="11.7109375" style="279" customWidth="1"/>
    <col min="14344" max="14344" width="11.5703125" style="279" customWidth="1"/>
    <col min="14345" max="14345" width="9.140625" style="279"/>
    <col min="14346" max="14346" width="10.5703125" style="279" bestFit="1" customWidth="1"/>
    <col min="14347" max="14347" width="9.140625" style="279"/>
    <col min="14348" max="14348" width="12.140625" style="279" customWidth="1"/>
    <col min="14349" max="14590" width="9.140625" style="279"/>
    <col min="14591" max="14591" width="4" style="279" customWidth="1"/>
    <col min="14592" max="14592" width="10.5703125" style="279" customWidth="1"/>
    <col min="14593" max="14593" width="11.140625" style="279" customWidth="1"/>
    <col min="14594" max="14594" width="8.7109375" style="279" customWidth="1"/>
    <col min="14595" max="14595" width="8" style="279" customWidth="1"/>
    <col min="14596" max="14596" width="10.28515625" style="279" customWidth="1"/>
    <col min="14597" max="14597" width="7.140625" style="279" customWidth="1"/>
    <col min="14598" max="14598" width="6.85546875" style="279" customWidth="1"/>
    <col min="14599" max="14599" width="11.7109375" style="279" customWidth="1"/>
    <col min="14600" max="14600" width="11.5703125" style="279" customWidth="1"/>
    <col min="14601" max="14601" width="9.140625" style="279"/>
    <col min="14602" max="14602" width="10.5703125" style="279" bestFit="1" customWidth="1"/>
    <col min="14603" max="14603" width="9.140625" style="279"/>
    <col min="14604" max="14604" width="12.140625" style="279" customWidth="1"/>
    <col min="14605" max="14846" width="9.140625" style="279"/>
    <col min="14847" max="14847" width="4" style="279" customWidth="1"/>
    <col min="14848" max="14848" width="10.5703125" style="279" customWidth="1"/>
    <col min="14849" max="14849" width="11.140625" style="279" customWidth="1"/>
    <col min="14850" max="14850" width="8.7109375" style="279" customWidth="1"/>
    <col min="14851" max="14851" width="8" style="279" customWidth="1"/>
    <col min="14852" max="14852" width="10.28515625" style="279" customWidth="1"/>
    <col min="14853" max="14853" width="7.140625" style="279" customWidth="1"/>
    <col min="14854" max="14854" width="6.85546875" style="279" customWidth="1"/>
    <col min="14855" max="14855" width="11.7109375" style="279" customWidth="1"/>
    <col min="14856" max="14856" width="11.5703125" style="279" customWidth="1"/>
    <col min="14857" max="14857" width="9.140625" style="279"/>
    <col min="14858" max="14858" width="10.5703125" style="279" bestFit="1" customWidth="1"/>
    <col min="14859" max="14859" width="9.140625" style="279"/>
    <col min="14860" max="14860" width="12.140625" style="279" customWidth="1"/>
    <col min="14861" max="15102" width="9.140625" style="279"/>
    <col min="15103" max="15103" width="4" style="279" customWidth="1"/>
    <col min="15104" max="15104" width="10.5703125" style="279" customWidth="1"/>
    <col min="15105" max="15105" width="11.140625" style="279" customWidth="1"/>
    <col min="15106" max="15106" width="8.7109375" style="279" customWidth="1"/>
    <col min="15107" max="15107" width="8" style="279" customWidth="1"/>
    <col min="15108" max="15108" width="10.28515625" style="279" customWidth="1"/>
    <col min="15109" max="15109" width="7.140625" style="279" customWidth="1"/>
    <col min="15110" max="15110" width="6.85546875" style="279" customWidth="1"/>
    <col min="15111" max="15111" width="11.7109375" style="279" customWidth="1"/>
    <col min="15112" max="15112" width="11.5703125" style="279" customWidth="1"/>
    <col min="15113" max="15113" width="9.140625" style="279"/>
    <col min="15114" max="15114" width="10.5703125" style="279" bestFit="1" customWidth="1"/>
    <col min="15115" max="15115" width="9.140625" style="279"/>
    <col min="15116" max="15116" width="12.140625" style="279" customWidth="1"/>
    <col min="15117" max="15358" width="9.140625" style="279"/>
    <col min="15359" max="15359" width="4" style="279" customWidth="1"/>
    <col min="15360" max="15360" width="10.5703125" style="279" customWidth="1"/>
    <col min="15361" max="15361" width="11.140625" style="279" customWidth="1"/>
    <col min="15362" max="15362" width="8.7109375" style="279" customWidth="1"/>
    <col min="15363" max="15363" width="8" style="279" customWidth="1"/>
    <col min="15364" max="15364" width="10.28515625" style="279" customWidth="1"/>
    <col min="15365" max="15365" width="7.140625" style="279" customWidth="1"/>
    <col min="15366" max="15366" width="6.85546875" style="279" customWidth="1"/>
    <col min="15367" max="15367" width="11.7109375" style="279" customWidth="1"/>
    <col min="15368" max="15368" width="11.5703125" style="279" customWidth="1"/>
    <col min="15369" max="15369" width="9.140625" style="279"/>
    <col min="15370" max="15370" width="10.5703125" style="279" bestFit="1" customWidth="1"/>
    <col min="15371" max="15371" width="9.140625" style="279"/>
    <col min="15372" max="15372" width="12.140625" style="279" customWidth="1"/>
    <col min="15373" max="15614" width="9.140625" style="279"/>
    <col min="15615" max="15615" width="4" style="279" customWidth="1"/>
    <col min="15616" max="15616" width="10.5703125" style="279" customWidth="1"/>
    <col min="15617" max="15617" width="11.140625" style="279" customWidth="1"/>
    <col min="15618" max="15618" width="8.7109375" style="279" customWidth="1"/>
    <col min="15619" max="15619" width="8" style="279" customWidth="1"/>
    <col min="15620" max="15620" width="10.28515625" style="279" customWidth="1"/>
    <col min="15621" max="15621" width="7.140625" style="279" customWidth="1"/>
    <col min="15622" max="15622" width="6.85546875" style="279" customWidth="1"/>
    <col min="15623" max="15623" width="11.7109375" style="279" customWidth="1"/>
    <col min="15624" max="15624" width="11.5703125" style="279" customWidth="1"/>
    <col min="15625" max="15625" width="9.140625" style="279"/>
    <col min="15626" max="15626" width="10.5703125" style="279" bestFit="1" customWidth="1"/>
    <col min="15627" max="15627" width="9.140625" style="279"/>
    <col min="15628" max="15628" width="12.140625" style="279" customWidth="1"/>
    <col min="15629" max="15870" width="9.140625" style="279"/>
    <col min="15871" max="15871" width="4" style="279" customWidth="1"/>
    <col min="15872" max="15872" width="10.5703125" style="279" customWidth="1"/>
    <col min="15873" max="15873" width="11.140625" style="279" customWidth="1"/>
    <col min="15874" max="15874" width="8.7109375" style="279" customWidth="1"/>
    <col min="15875" max="15875" width="8" style="279" customWidth="1"/>
    <col min="15876" max="15876" width="10.28515625" style="279" customWidth="1"/>
    <col min="15877" max="15877" width="7.140625" style="279" customWidth="1"/>
    <col min="15878" max="15878" width="6.85546875" style="279" customWidth="1"/>
    <col min="15879" max="15879" width="11.7109375" style="279" customWidth="1"/>
    <col min="15880" max="15880" width="11.5703125" style="279" customWidth="1"/>
    <col min="15881" max="15881" width="9.140625" style="279"/>
    <col min="15882" max="15882" width="10.5703125" style="279" bestFit="1" customWidth="1"/>
    <col min="15883" max="15883" width="9.140625" style="279"/>
    <col min="15884" max="15884" width="12.140625" style="279" customWidth="1"/>
    <col min="15885" max="16126" width="9.140625" style="279"/>
    <col min="16127" max="16127" width="4" style="279" customWidth="1"/>
    <col min="16128" max="16128" width="10.5703125" style="279" customWidth="1"/>
    <col min="16129" max="16129" width="11.140625" style="279" customWidth="1"/>
    <col min="16130" max="16130" width="8.7109375" style="279" customWidth="1"/>
    <col min="16131" max="16131" width="8" style="279" customWidth="1"/>
    <col min="16132" max="16132" width="10.28515625" style="279" customWidth="1"/>
    <col min="16133" max="16133" width="7.140625" style="279" customWidth="1"/>
    <col min="16134" max="16134" width="6.85546875" style="279" customWidth="1"/>
    <col min="16135" max="16135" width="11.7109375" style="279" customWidth="1"/>
    <col min="16136" max="16136" width="11.5703125" style="279" customWidth="1"/>
    <col min="16137" max="16137" width="9.140625" style="279"/>
    <col min="16138" max="16138" width="10.5703125" style="279" bestFit="1" customWidth="1"/>
    <col min="16139" max="16139" width="9.140625" style="279"/>
    <col min="16140" max="16140" width="12.140625" style="279" customWidth="1"/>
    <col min="16141" max="16384" width="9.140625" style="279"/>
  </cols>
  <sheetData>
    <row r="1" spans="1:9" ht="15" customHeight="1" x14ac:dyDescent="0.25">
      <c r="A1" s="1142" t="s">
        <v>183</v>
      </c>
      <c r="B1" s="1142"/>
      <c r="C1" s="1142"/>
      <c r="D1" s="1142"/>
      <c r="E1" s="1142"/>
      <c r="F1" s="1142"/>
      <c r="G1" s="1142"/>
      <c r="H1" s="1142"/>
    </row>
    <row r="3" spans="1:9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</row>
    <row r="4" spans="1:9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</row>
    <row r="5" spans="1:9" ht="15" customHeight="1" x14ac:dyDescent="0.25">
      <c r="A5" s="200"/>
      <c r="B5" s="200"/>
      <c r="C5" s="200"/>
      <c r="D5" s="200"/>
      <c r="E5" s="200"/>
      <c r="F5" s="200"/>
      <c r="G5" s="200"/>
      <c r="H5" s="202"/>
    </row>
    <row r="6" spans="1:9" ht="15" customHeight="1" x14ac:dyDescent="0.25">
      <c r="A6" s="1201" t="s">
        <v>842</v>
      </c>
      <c r="B6" s="1201"/>
      <c r="C6" s="1201"/>
      <c r="D6" s="1201"/>
      <c r="E6" s="1201"/>
      <c r="F6" s="1201"/>
      <c r="G6" s="1201"/>
      <c r="H6" s="1201"/>
    </row>
    <row r="7" spans="1:9" ht="15" customHeight="1" x14ac:dyDescent="0.25">
      <c r="A7" s="1145" t="s">
        <v>405</v>
      </c>
      <c r="B7" s="1145"/>
      <c r="C7" s="1145"/>
      <c r="D7" s="1145"/>
      <c r="E7" s="1145"/>
      <c r="F7" s="1145"/>
      <c r="G7" s="1145"/>
      <c r="H7" s="1145"/>
    </row>
    <row r="8" spans="1:9" ht="24" customHeight="1" x14ac:dyDescent="0.25">
      <c r="A8" s="195" t="s">
        <v>258</v>
      </c>
      <c r="B8" s="733" t="s">
        <v>554</v>
      </c>
      <c r="C8" s="193" t="s">
        <v>343</v>
      </c>
      <c r="D8" s="195" t="s">
        <v>389</v>
      </c>
      <c r="E8" s="195" t="s">
        <v>501</v>
      </c>
      <c r="F8" s="733" t="s">
        <v>502</v>
      </c>
      <c r="G8" s="286" t="s">
        <v>467</v>
      </c>
      <c r="H8" s="195" t="s">
        <v>402</v>
      </c>
    </row>
    <row r="9" spans="1:9" ht="15" customHeight="1" x14ac:dyDescent="0.25">
      <c r="A9" s="196">
        <v>1</v>
      </c>
      <c r="B9" s="728">
        <v>2</v>
      </c>
      <c r="C9" s="196">
        <v>3</v>
      </c>
      <c r="D9" s="196">
        <v>4</v>
      </c>
      <c r="E9" s="196">
        <v>5</v>
      </c>
      <c r="F9" s="728">
        <v>6</v>
      </c>
      <c r="G9" s="287">
        <v>7</v>
      </c>
      <c r="H9" s="196">
        <v>8</v>
      </c>
    </row>
    <row r="10" spans="1:9" ht="39.75" customHeight="1" x14ac:dyDescent="0.25">
      <c r="A10" s="196">
        <v>1</v>
      </c>
      <c r="B10" s="734" t="s">
        <v>667</v>
      </c>
      <c r="C10" s="195">
        <v>226</v>
      </c>
      <c r="D10" s="233" t="s">
        <v>362</v>
      </c>
      <c r="E10" s="259">
        <v>3</v>
      </c>
      <c r="F10" s="265">
        <v>20000</v>
      </c>
      <c r="G10" s="983">
        <f>F10*E10-60000</f>
        <v>0</v>
      </c>
      <c r="H10" s="984">
        <f>ROUND(G10/1000,1)</f>
        <v>0</v>
      </c>
      <c r="I10" s="520"/>
    </row>
    <row r="11" spans="1:9" x14ac:dyDescent="0.25">
      <c r="A11" s="1223" t="s">
        <v>409</v>
      </c>
      <c r="B11" s="1223"/>
      <c r="C11" s="1223"/>
      <c r="D11" s="1223"/>
      <c r="E11" s="1223"/>
      <c r="F11" s="1223"/>
      <c r="G11" s="826">
        <f>SUM(G10:G10)</f>
        <v>0</v>
      </c>
      <c r="H11" s="687">
        <f>SUM(H10:H10)</f>
        <v>0</v>
      </c>
    </row>
    <row r="13" spans="1:9" x14ac:dyDescent="0.25">
      <c r="A13" s="1201" t="s">
        <v>933</v>
      </c>
      <c r="B13" s="1201"/>
      <c r="C13" s="1201"/>
      <c r="D13" s="1201"/>
      <c r="E13" s="1201"/>
      <c r="F13" s="1201"/>
      <c r="G13" s="1201"/>
      <c r="H13" s="1201"/>
    </row>
    <row r="14" spans="1:9" ht="15" customHeight="1" x14ac:dyDescent="0.25">
      <c r="A14" s="1145" t="s">
        <v>935</v>
      </c>
      <c r="B14" s="1145"/>
      <c r="C14" s="1145"/>
      <c r="D14" s="1145"/>
      <c r="E14" s="1145"/>
      <c r="F14" s="1145"/>
      <c r="G14" s="1145"/>
      <c r="H14" s="1145"/>
    </row>
    <row r="15" spans="1:9" ht="24" x14ac:dyDescent="0.25">
      <c r="A15" s="674" t="s">
        <v>258</v>
      </c>
      <c r="B15" s="733" t="s">
        <v>491</v>
      </c>
      <c r="C15" s="673" t="s">
        <v>343</v>
      </c>
      <c r="D15" s="674" t="s">
        <v>389</v>
      </c>
      <c r="E15" s="674" t="s">
        <v>768</v>
      </c>
      <c r="F15" s="733" t="s">
        <v>550</v>
      </c>
      <c r="G15" s="677" t="s">
        <v>467</v>
      </c>
      <c r="H15" s="674" t="s">
        <v>402</v>
      </c>
    </row>
    <row r="16" spans="1:9" ht="15" customHeight="1" x14ac:dyDescent="0.25">
      <c r="A16" s="675">
        <v>1</v>
      </c>
      <c r="B16" s="728">
        <v>2</v>
      </c>
      <c r="C16" s="675">
        <v>3</v>
      </c>
      <c r="D16" s="675">
        <v>4</v>
      </c>
      <c r="E16" s="675">
        <v>5</v>
      </c>
      <c r="F16" s="728">
        <v>6</v>
      </c>
      <c r="G16" s="678">
        <v>7</v>
      </c>
      <c r="H16" s="675">
        <v>8</v>
      </c>
    </row>
    <row r="17" spans="1:9" ht="96" x14ac:dyDescent="0.25">
      <c r="A17" s="675">
        <v>1</v>
      </c>
      <c r="B17" s="734" t="s">
        <v>767</v>
      </c>
      <c r="C17" s="674">
        <v>349</v>
      </c>
      <c r="D17" s="233"/>
      <c r="E17" s="676">
        <v>1</v>
      </c>
      <c r="F17" s="265">
        <f>10000-10000</f>
        <v>0</v>
      </c>
      <c r="G17" s="292">
        <f>F17*E17</f>
        <v>0</v>
      </c>
      <c r="H17" s="283">
        <f>ROUND((F17*E17)/1000,1)</f>
        <v>0</v>
      </c>
      <c r="I17" s="508">
        <v>-10</v>
      </c>
    </row>
    <row r="18" spans="1:9" x14ac:dyDescent="0.25">
      <c r="A18" s="1223" t="s">
        <v>934</v>
      </c>
      <c r="B18" s="1223"/>
      <c r="C18" s="1223"/>
      <c r="D18" s="1223"/>
      <c r="E18" s="1223"/>
      <c r="F18" s="1223"/>
      <c r="G18" s="826">
        <f>SUM(G17:G17)</f>
        <v>0</v>
      </c>
      <c r="H18" s="687">
        <f>SUM(H17:H17)</f>
        <v>0</v>
      </c>
    </row>
    <row r="20" spans="1:9" s="145" customFormat="1" x14ac:dyDescent="0.25"/>
    <row r="21" spans="1:9" x14ac:dyDescent="0.25">
      <c r="A21" s="1150" t="s">
        <v>397</v>
      </c>
      <c r="B21" s="1150"/>
      <c r="C21" s="168"/>
      <c r="D21" s="1151"/>
      <c r="E21" s="1151"/>
      <c r="F21" s="145"/>
      <c r="G21" s="1151" t="str">
        <f>рВДЛ!G32</f>
        <v>М.В. Златова</v>
      </c>
      <c r="H21" s="1151"/>
    </row>
    <row r="22" spans="1:9" x14ac:dyDescent="0.25">
      <c r="A22" s="1148" t="s">
        <v>329</v>
      </c>
      <c r="B22" s="1148"/>
      <c r="C22" s="169"/>
      <c r="D22" s="1148" t="s">
        <v>330</v>
      </c>
      <c r="E22" s="1148"/>
      <c r="F22" s="145"/>
      <c r="G22" s="1149" t="s">
        <v>331</v>
      </c>
      <c r="H22" s="1149"/>
    </row>
    <row r="23" spans="1:9" x14ac:dyDescent="0.25">
      <c r="A23" s="1150" t="str">
        <f>рВДЛ!A34</f>
        <v>Исполнитель: финансист</v>
      </c>
      <c r="B23" s="1150"/>
      <c r="C23" s="168"/>
      <c r="D23" s="1151"/>
      <c r="E23" s="1151"/>
      <c r="F23" s="145"/>
      <c r="G23" s="1151" t="str">
        <f>рВДЛ!G34</f>
        <v>Е.Н. Рыбалка</v>
      </c>
      <c r="H23" s="1151"/>
    </row>
    <row r="24" spans="1:9" x14ac:dyDescent="0.25">
      <c r="A24" s="1148" t="s">
        <v>329</v>
      </c>
      <c r="B24" s="1148"/>
      <c r="C24" s="169"/>
      <c r="D24" s="1148" t="s">
        <v>330</v>
      </c>
      <c r="E24" s="1148"/>
      <c r="F24" s="145"/>
      <c r="G24" s="1149" t="s">
        <v>331</v>
      </c>
      <c r="H24" s="1149"/>
    </row>
  </sheetData>
  <mergeCells count="21">
    <mergeCell ref="A13:H13"/>
    <mergeCell ref="A11:F11"/>
    <mergeCell ref="A24:B24"/>
    <mergeCell ref="D24:E24"/>
    <mergeCell ref="G24:H24"/>
    <mergeCell ref="A23:B23"/>
    <mergeCell ref="D23:E23"/>
    <mergeCell ref="G23:H23"/>
    <mergeCell ref="A22:B22"/>
    <mergeCell ref="D22:E22"/>
    <mergeCell ref="G22:H22"/>
    <mergeCell ref="A21:B21"/>
    <mergeCell ref="D21:E21"/>
    <mergeCell ref="G21:H21"/>
    <mergeCell ref="A14:H14"/>
    <mergeCell ref="A18:F18"/>
    <mergeCell ref="A1:H1"/>
    <mergeCell ref="A7:H7"/>
    <mergeCell ref="A4:H4"/>
    <mergeCell ref="A3:H3"/>
    <mergeCell ref="A6:H6"/>
  </mergeCells>
  <pageMargins left="0.7" right="0.7" top="0.75" bottom="0.75" header="0.3" footer="0.3"/>
  <pageSetup paperSize="9" orientation="portrait" verticalDpi="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7"/>
  <sheetViews>
    <sheetView showZeros="0" topLeftCell="A37" workbookViewId="0">
      <selection activeCell="H65" sqref="H65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190</v>
      </c>
      <c r="B12" s="1201"/>
      <c r="C12" s="1201"/>
      <c r="D12" s="1201"/>
      <c r="E12" s="1201"/>
      <c r="F12" s="1201"/>
      <c r="G12" s="1201"/>
      <c r="H12" s="1201"/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9" x14ac:dyDescent="0.25">
      <c r="A16" s="564" t="s">
        <v>640</v>
      </c>
      <c r="B16" s="848" t="s">
        <v>189</v>
      </c>
      <c r="C16" s="848" t="s">
        <v>106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134.80000000000001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 t="s">
        <v>189</v>
      </c>
      <c r="C24" s="846" t="s">
        <v>106</v>
      </c>
      <c r="D24" s="846" t="s">
        <v>192</v>
      </c>
      <c r="E24" s="846" t="s">
        <v>126</v>
      </c>
      <c r="F24" s="558">
        <v>220</v>
      </c>
      <c r="G24" s="558"/>
      <c r="H24" s="847">
        <f>H25+H26+H28+H32+H36</f>
        <v>134.80000000000001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 t="s">
        <v>189</v>
      </c>
      <c r="C32" s="848" t="s">
        <v>106</v>
      </c>
      <c r="D32" s="848" t="s">
        <v>192</v>
      </c>
      <c r="E32" s="848" t="s">
        <v>416</v>
      </c>
      <c r="F32" s="559">
        <v>225</v>
      </c>
      <c r="G32" s="559"/>
      <c r="H32" s="850">
        <f>SUM(H33:H35)</f>
        <v>134.80000000000001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 t="s">
        <v>189</v>
      </c>
      <c r="C34" s="852" t="s">
        <v>106</v>
      </c>
      <c r="D34" s="852" t="s">
        <v>192</v>
      </c>
      <c r="E34" s="852" t="s">
        <v>416</v>
      </c>
      <c r="F34" s="560">
        <v>225</v>
      </c>
      <c r="G34" s="560" t="s">
        <v>358</v>
      </c>
      <c r="H34" s="281">
        <f>рЖилфонд!H18</f>
        <v>134.80000000000001</v>
      </c>
      <c r="I34" s="638">
        <v>163100</v>
      </c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9" x14ac:dyDescent="0.25">
      <c r="A38" s="567" t="s">
        <v>361</v>
      </c>
      <c r="B38" s="852"/>
      <c r="C38" s="852"/>
      <c r="D38" s="852"/>
      <c r="E38" s="428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9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9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9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9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9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9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9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9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9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9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9" x14ac:dyDescent="0.25">
      <c r="A59" s="565" t="s">
        <v>656</v>
      </c>
      <c r="B59" s="857" t="s">
        <v>189</v>
      </c>
      <c r="C59" s="857" t="s">
        <v>106</v>
      </c>
      <c r="D59" s="857" t="s">
        <v>192</v>
      </c>
      <c r="E59" s="857" t="s">
        <v>126</v>
      </c>
      <c r="F59" s="558" t="s">
        <v>205</v>
      </c>
      <c r="G59" s="558"/>
      <c r="H59" s="858">
        <f>H60+H62+H63+H64</f>
        <v>48.9</v>
      </c>
    </row>
    <row r="60" spans="1:9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9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9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9" ht="24" x14ac:dyDescent="0.25">
      <c r="A63" s="569" t="s">
        <v>658</v>
      </c>
      <c r="B63" s="848" t="s">
        <v>189</v>
      </c>
      <c r="C63" s="848" t="s">
        <v>106</v>
      </c>
      <c r="D63" s="848" t="s">
        <v>192</v>
      </c>
      <c r="E63" s="848" t="s">
        <v>416</v>
      </c>
      <c r="F63" s="563">
        <v>346</v>
      </c>
      <c r="G63" s="563"/>
      <c r="H63" s="850">
        <f>рЖилфонд!H31</f>
        <v>48.9</v>
      </c>
      <c r="I63" s="638">
        <v>21900</v>
      </c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189</v>
      </c>
      <c r="C65" s="848" t="s">
        <v>106</v>
      </c>
      <c r="D65" s="848" t="s">
        <v>192</v>
      </c>
      <c r="E65" s="848" t="s">
        <v>126</v>
      </c>
      <c r="F65" s="563"/>
      <c r="G65" s="563"/>
      <c r="H65" s="850">
        <f>H63+H32</f>
        <v>183.70000000000002</v>
      </c>
    </row>
    <row r="66" spans="1:9" x14ac:dyDescent="0.25">
      <c r="A66" s="571" t="s">
        <v>377</v>
      </c>
      <c r="B66" s="848" t="s">
        <v>189</v>
      </c>
      <c r="C66" s="848" t="s">
        <v>106</v>
      </c>
      <c r="D66" s="848" t="s">
        <v>485</v>
      </c>
      <c r="E66" s="848" t="s">
        <v>345</v>
      </c>
      <c r="F66" s="570"/>
      <c r="G66" s="570"/>
      <c r="H66" s="850">
        <f>H59+H16</f>
        <v>183.70000000000002</v>
      </c>
      <c r="I66" s="638">
        <f>SUM(I16:I64)</f>
        <v>185000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7"/>
  <sheetViews>
    <sheetView workbookViewId="0">
      <selection activeCell="I18" sqref="I18"/>
    </sheetView>
  </sheetViews>
  <sheetFormatPr defaultRowHeight="15" x14ac:dyDescent="0.25"/>
  <cols>
    <col min="1" max="1" width="4.85546875" style="279" customWidth="1"/>
    <col min="2" max="2" width="24.85546875" style="279" customWidth="1"/>
    <col min="3" max="4" width="6.5703125" style="279" customWidth="1"/>
    <col min="5" max="5" width="9.28515625" style="279" customWidth="1"/>
    <col min="6" max="6" width="13.42578125" style="279" customWidth="1"/>
    <col min="7" max="7" width="11.7109375" style="279" customWidth="1"/>
    <col min="8" max="8" width="11.5703125" style="279" customWidth="1"/>
    <col min="9" max="9" width="12.5703125" style="279" customWidth="1"/>
    <col min="10" max="10" width="10.5703125" style="279" bestFit="1" customWidth="1"/>
    <col min="11" max="11" width="9.140625" style="279"/>
    <col min="12" max="12" width="12.140625" style="279" customWidth="1"/>
    <col min="13" max="254" width="9.140625" style="279"/>
    <col min="255" max="255" width="4" style="279" customWidth="1"/>
    <col min="256" max="256" width="10.5703125" style="279" customWidth="1"/>
    <col min="257" max="257" width="11.140625" style="279" customWidth="1"/>
    <col min="258" max="258" width="8.7109375" style="279" customWidth="1"/>
    <col min="259" max="259" width="8" style="279" customWidth="1"/>
    <col min="260" max="260" width="10.28515625" style="279" customWidth="1"/>
    <col min="261" max="261" width="7.140625" style="279" customWidth="1"/>
    <col min="262" max="262" width="6.85546875" style="279" customWidth="1"/>
    <col min="263" max="263" width="11.7109375" style="279" customWidth="1"/>
    <col min="264" max="264" width="11.5703125" style="279" customWidth="1"/>
    <col min="265" max="265" width="9.140625" style="279"/>
    <col min="266" max="266" width="10.5703125" style="279" bestFit="1" customWidth="1"/>
    <col min="267" max="267" width="9.140625" style="279"/>
    <col min="268" max="268" width="12.140625" style="279" customWidth="1"/>
    <col min="269" max="510" width="9.140625" style="279"/>
    <col min="511" max="511" width="4" style="279" customWidth="1"/>
    <col min="512" max="512" width="10.5703125" style="279" customWidth="1"/>
    <col min="513" max="513" width="11.140625" style="279" customWidth="1"/>
    <col min="514" max="514" width="8.7109375" style="279" customWidth="1"/>
    <col min="515" max="515" width="8" style="279" customWidth="1"/>
    <col min="516" max="516" width="10.28515625" style="279" customWidth="1"/>
    <col min="517" max="517" width="7.140625" style="279" customWidth="1"/>
    <col min="518" max="518" width="6.85546875" style="279" customWidth="1"/>
    <col min="519" max="519" width="11.7109375" style="279" customWidth="1"/>
    <col min="520" max="520" width="11.5703125" style="279" customWidth="1"/>
    <col min="521" max="521" width="9.140625" style="279"/>
    <col min="522" max="522" width="10.5703125" style="279" bestFit="1" customWidth="1"/>
    <col min="523" max="523" width="9.140625" style="279"/>
    <col min="524" max="524" width="12.140625" style="279" customWidth="1"/>
    <col min="525" max="766" width="9.140625" style="279"/>
    <col min="767" max="767" width="4" style="279" customWidth="1"/>
    <col min="768" max="768" width="10.5703125" style="279" customWidth="1"/>
    <col min="769" max="769" width="11.140625" style="279" customWidth="1"/>
    <col min="770" max="770" width="8.7109375" style="279" customWidth="1"/>
    <col min="771" max="771" width="8" style="279" customWidth="1"/>
    <col min="772" max="772" width="10.28515625" style="279" customWidth="1"/>
    <col min="773" max="773" width="7.140625" style="279" customWidth="1"/>
    <col min="774" max="774" width="6.85546875" style="279" customWidth="1"/>
    <col min="775" max="775" width="11.7109375" style="279" customWidth="1"/>
    <col min="776" max="776" width="11.5703125" style="279" customWidth="1"/>
    <col min="777" max="777" width="9.140625" style="279"/>
    <col min="778" max="778" width="10.5703125" style="279" bestFit="1" customWidth="1"/>
    <col min="779" max="779" width="9.140625" style="279"/>
    <col min="780" max="780" width="12.140625" style="279" customWidth="1"/>
    <col min="781" max="1022" width="9.140625" style="279"/>
    <col min="1023" max="1023" width="4" style="279" customWidth="1"/>
    <col min="1024" max="1024" width="10.5703125" style="279" customWidth="1"/>
    <col min="1025" max="1025" width="11.140625" style="279" customWidth="1"/>
    <col min="1026" max="1026" width="8.7109375" style="279" customWidth="1"/>
    <col min="1027" max="1027" width="8" style="279" customWidth="1"/>
    <col min="1028" max="1028" width="10.28515625" style="279" customWidth="1"/>
    <col min="1029" max="1029" width="7.140625" style="279" customWidth="1"/>
    <col min="1030" max="1030" width="6.85546875" style="279" customWidth="1"/>
    <col min="1031" max="1031" width="11.7109375" style="279" customWidth="1"/>
    <col min="1032" max="1032" width="11.5703125" style="279" customWidth="1"/>
    <col min="1033" max="1033" width="9.140625" style="279"/>
    <col min="1034" max="1034" width="10.5703125" style="279" bestFit="1" customWidth="1"/>
    <col min="1035" max="1035" width="9.140625" style="279"/>
    <col min="1036" max="1036" width="12.140625" style="279" customWidth="1"/>
    <col min="1037" max="1278" width="9.140625" style="279"/>
    <col min="1279" max="1279" width="4" style="279" customWidth="1"/>
    <col min="1280" max="1280" width="10.5703125" style="279" customWidth="1"/>
    <col min="1281" max="1281" width="11.140625" style="279" customWidth="1"/>
    <col min="1282" max="1282" width="8.7109375" style="279" customWidth="1"/>
    <col min="1283" max="1283" width="8" style="279" customWidth="1"/>
    <col min="1284" max="1284" width="10.28515625" style="279" customWidth="1"/>
    <col min="1285" max="1285" width="7.140625" style="279" customWidth="1"/>
    <col min="1286" max="1286" width="6.85546875" style="279" customWidth="1"/>
    <col min="1287" max="1287" width="11.7109375" style="279" customWidth="1"/>
    <col min="1288" max="1288" width="11.5703125" style="279" customWidth="1"/>
    <col min="1289" max="1289" width="9.140625" style="279"/>
    <col min="1290" max="1290" width="10.5703125" style="279" bestFit="1" customWidth="1"/>
    <col min="1291" max="1291" width="9.140625" style="279"/>
    <col min="1292" max="1292" width="12.140625" style="279" customWidth="1"/>
    <col min="1293" max="1534" width="9.140625" style="279"/>
    <col min="1535" max="1535" width="4" style="279" customWidth="1"/>
    <col min="1536" max="1536" width="10.5703125" style="279" customWidth="1"/>
    <col min="1537" max="1537" width="11.140625" style="279" customWidth="1"/>
    <col min="1538" max="1538" width="8.7109375" style="279" customWidth="1"/>
    <col min="1539" max="1539" width="8" style="279" customWidth="1"/>
    <col min="1540" max="1540" width="10.28515625" style="279" customWidth="1"/>
    <col min="1541" max="1541" width="7.140625" style="279" customWidth="1"/>
    <col min="1542" max="1542" width="6.85546875" style="279" customWidth="1"/>
    <col min="1543" max="1543" width="11.7109375" style="279" customWidth="1"/>
    <col min="1544" max="1544" width="11.5703125" style="279" customWidth="1"/>
    <col min="1545" max="1545" width="9.140625" style="279"/>
    <col min="1546" max="1546" width="10.5703125" style="279" bestFit="1" customWidth="1"/>
    <col min="1547" max="1547" width="9.140625" style="279"/>
    <col min="1548" max="1548" width="12.140625" style="279" customWidth="1"/>
    <col min="1549" max="1790" width="9.140625" style="279"/>
    <col min="1791" max="1791" width="4" style="279" customWidth="1"/>
    <col min="1792" max="1792" width="10.5703125" style="279" customWidth="1"/>
    <col min="1793" max="1793" width="11.140625" style="279" customWidth="1"/>
    <col min="1794" max="1794" width="8.7109375" style="279" customWidth="1"/>
    <col min="1795" max="1795" width="8" style="279" customWidth="1"/>
    <col min="1796" max="1796" width="10.28515625" style="279" customWidth="1"/>
    <col min="1797" max="1797" width="7.140625" style="279" customWidth="1"/>
    <col min="1798" max="1798" width="6.85546875" style="279" customWidth="1"/>
    <col min="1799" max="1799" width="11.7109375" style="279" customWidth="1"/>
    <col min="1800" max="1800" width="11.5703125" style="279" customWidth="1"/>
    <col min="1801" max="1801" width="9.140625" style="279"/>
    <col min="1802" max="1802" width="10.5703125" style="279" bestFit="1" customWidth="1"/>
    <col min="1803" max="1803" width="9.140625" style="279"/>
    <col min="1804" max="1804" width="12.140625" style="279" customWidth="1"/>
    <col min="1805" max="2046" width="9.140625" style="279"/>
    <col min="2047" max="2047" width="4" style="279" customWidth="1"/>
    <col min="2048" max="2048" width="10.5703125" style="279" customWidth="1"/>
    <col min="2049" max="2049" width="11.140625" style="279" customWidth="1"/>
    <col min="2050" max="2050" width="8.7109375" style="279" customWidth="1"/>
    <col min="2051" max="2051" width="8" style="279" customWidth="1"/>
    <col min="2052" max="2052" width="10.28515625" style="279" customWidth="1"/>
    <col min="2053" max="2053" width="7.140625" style="279" customWidth="1"/>
    <col min="2054" max="2054" width="6.85546875" style="279" customWidth="1"/>
    <col min="2055" max="2055" width="11.7109375" style="279" customWidth="1"/>
    <col min="2056" max="2056" width="11.5703125" style="279" customWidth="1"/>
    <col min="2057" max="2057" width="9.140625" style="279"/>
    <col min="2058" max="2058" width="10.5703125" style="279" bestFit="1" customWidth="1"/>
    <col min="2059" max="2059" width="9.140625" style="279"/>
    <col min="2060" max="2060" width="12.140625" style="279" customWidth="1"/>
    <col min="2061" max="2302" width="9.140625" style="279"/>
    <col min="2303" max="2303" width="4" style="279" customWidth="1"/>
    <col min="2304" max="2304" width="10.5703125" style="279" customWidth="1"/>
    <col min="2305" max="2305" width="11.140625" style="279" customWidth="1"/>
    <col min="2306" max="2306" width="8.7109375" style="279" customWidth="1"/>
    <col min="2307" max="2307" width="8" style="279" customWidth="1"/>
    <col min="2308" max="2308" width="10.28515625" style="279" customWidth="1"/>
    <col min="2309" max="2309" width="7.140625" style="279" customWidth="1"/>
    <col min="2310" max="2310" width="6.85546875" style="279" customWidth="1"/>
    <col min="2311" max="2311" width="11.7109375" style="279" customWidth="1"/>
    <col min="2312" max="2312" width="11.5703125" style="279" customWidth="1"/>
    <col min="2313" max="2313" width="9.140625" style="279"/>
    <col min="2314" max="2314" width="10.5703125" style="279" bestFit="1" customWidth="1"/>
    <col min="2315" max="2315" width="9.140625" style="279"/>
    <col min="2316" max="2316" width="12.140625" style="279" customWidth="1"/>
    <col min="2317" max="2558" width="9.140625" style="279"/>
    <col min="2559" max="2559" width="4" style="279" customWidth="1"/>
    <col min="2560" max="2560" width="10.5703125" style="279" customWidth="1"/>
    <col min="2561" max="2561" width="11.140625" style="279" customWidth="1"/>
    <col min="2562" max="2562" width="8.7109375" style="279" customWidth="1"/>
    <col min="2563" max="2563" width="8" style="279" customWidth="1"/>
    <col min="2564" max="2564" width="10.28515625" style="279" customWidth="1"/>
    <col min="2565" max="2565" width="7.140625" style="279" customWidth="1"/>
    <col min="2566" max="2566" width="6.85546875" style="279" customWidth="1"/>
    <col min="2567" max="2567" width="11.7109375" style="279" customWidth="1"/>
    <col min="2568" max="2568" width="11.5703125" style="279" customWidth="1"/>
    <col min="2569" max="2569" width="9.140625" style="279"/>
    <col min="2570" max="2570" width="10.5703125" style="279" bestFit="1" customWidth="1"/>
    <col min="2571" max="2571" width="9.140625" style="279"/>
    <col min="2572" max="2572" width="12.140625" style="279" customWidth="1"/>
    <col min="2573" max="2814" width="9.140625" style="279"/>
    <col min="2815" max="2815" width="4" style="279" customWidth="1"/>
    <col min="2816" max="2816" width="10.5703125" style="279" customWidth="1"/>
    <col min="2817" max="2817" width="11.140625" style="279" customWidth="1"/>
    <col min="2818" max="2818" width="8.7109375" style="279" customWidth="1"/>
    <col min="2819" max="2819" width="8" style="279" customWidth="1"/>
    <col min="2820" max="2820" width="10.28515625" style="279" customWidth="1"/>
    <col min="2821" max="2821" width="7.140625" style="279" customWidth="1"/>
    <col min="2822" max="2822" width="6.85546875" style="279" customWidth="1"/>
    <col min="2823" max="2823" width="11.7109375" style="279" customWidth="1"/>
    <col min="2824" max="2824" width="11.5703125" style="279" customWidth="1"/>
    <col min="2825" max="2825" width="9.140625" style="279"/>
    <col min="2826" max="2826" width="10.5703125" style="279" bestFit="1" customWidth="1"/>
    <col min="2827" max="2827" width="9.140625" style="279"/>
    <col min="2828" max="2828" width="12.140625" style="279" customWidth="1"/>
    <col min="2829" max="3070" width="9.140625" style="279"/>
    <col min="3071" max="3071" width="4" style="279" customWidth="1"/>
    <col min="3072" max="3072" width="10.5703125" style="279" customWidth="1"/>
    <col min="3073" max="3073" width="11.140625" style="279" customWidth="1"/>
    <col min="3074" max="3074" width="8.7109375" style="279" customWidth="1"/>
    <col min="3075" max="3075" width="8" style="279" customWidth="1"/>
    <col min="3076" max="3076" width="10.28515625" style="279" customWidth="1"/>
    <col min="3077" max="3077" width="7.140625" style="279" customWidth="1"/>
    <col min="3078" max="3078" width="6.85546875" style="279" customWidth="1"/>
    <col min="3079" max="3079" width="11.7109375" style="279" customWidth="1"/>
    <col min="3080" max="3080" width="11.5703125" style="279" customWidth="1"/>
    <col min="3081" max="3081" width="9.140625" style="279"/>
    <col min="3082" max="3082" width="10.5703125" style="279" bestFit="1" customWidth="1"/>
    <col min="3083" max="3083" width="9.140625" style="279"/>
    <col min="3084" max="3084" width="12.140625" style="279" customWidth="1"/>
    <col min="3085" max="3326" width="9.140625" style="279"/>
    <col min="3327" max="3327" width="4" style="279" customWidth="1"/>
    <col min="3328" max="3328" width="10.5703125" style="279" customWidth="1"/>
    <col min="3329" max="3329" width="11.140625" style="279" customWidth="1"/>
    <col min="3330" max="3330" width="8.7109375" style="279" customWidth="1"/>
    <col min="3331" max="3331" width="8" style="279" customWidth="1"/>
    <col min="3332" max="3332" width="10.28515625" style="279" customWidth="1"/>
    <col min="3333" max="3333" width="7.140625" style="279" customWidth="1"/>
    <col min="3334" max="3334" width="6.85546875" style="279" customWidth="1"/>
    <col min="3335" max="3335" width="11.7109375" style="279" customWidth="1"/>
    <col min="3336" max="3336" width="11.5703125" style="279" customWidth="1"/>
    <col min="3337" max="3337" width="9.140625" style="279"/>
    <col min="3338" max="3338" width="10.5703125" style="279" bestFit="1" customWidth="1"/>
    <col min="3339" max="3339" width="9.140625" style="279"/>
    <col min="3340" max="3340" width="12.140625" style="279" customWidth="1"/>
    <col min="3341" max="3582" width="9.140625" style="279"/>
    <col min="3583" max="3583" width="4" style="279" customWidth="1"/>
    <col min="3584" max="3584" width="10.5703125" style="279" customWidth="1"/>
    <col min="3585" max="3585" width="11.140625" style="279" customWidth="1"/>
    <col min="3586" max="3586" width="8.7109375" style="279" customWidth="1"/>
    <col min="3587" max="3587" width="8" style="279" customWidth="1"/>
    <col min="3588" max="3588" width="10.28515625" style="279" customWidth="1"/>
    <col min="3589" max="3589" width="7.140625" style="279" customWidth="1"/>
    <col min="3590" max="3590" width="6.85546875" style="279" customWidth="1"/>
    <col min="3591" max="3591" width="11.7109375" style="279" customWidth="1"/>
    <col min="3592" max="3592" width="11.5703125" style="279" customWidth="1"/>
    <col min="3593" max="3593" width="9.140625" style="279"/>
    <col min="3594" max="3594" width="10.5703125" style="279" bestFit="1" customWidth="1"/>
    <col min="3595" max="3595" width="9.140625" style="279"/>
    <col min="3596" max="3596" width="12.140625" style="279" customWidth="1"/>
    <col min="3597" max="3838" width="9.140625" style="279"/>
    <col min="3839" max="3839" width="4" style="279" customWidth="1"/>
    <col min="3840" max="3840" width="10.5703125" style="279" customWidth="1"/>
    <col min="3841" max="3841" width="11.140625" style="279" customWidth="1"/>
    <col min="3842" max="3842" width="8.7109375" style="279" customWidth="1"/>
    <col min="3843" max="3843" width="8" style="279" customWidth="1"/>
    <col min="3844" max="3844" width="10.28515625" style="279" customWidth="1"/>
    <col min="3845" max="3845" width="7.140625" style="279" customWidth="1"/>
    <col min="3846" max="3846" width="6.85546875" style="279" customWidth="1"/>
    <col min="3847" max="3847" width="11.7109375" style="279" customWidth="1"/>
    <col min="3848" max="3848" width="11.5703125" style="279" customWidth="1"/>
    <col min="3849" max="3849" width="9.140625" style="279"/>
    <col min="3850" max="3850" width="10.5703125" style="279" bestFit="1" customWidth="1"/>
    <col min="3851" max="3851" width="9.140625" style="279"/>
    <col min="3852" max="3852" width="12.140625" style="279" customWidth="1"/>
    <col min="3853" max="4094" width="9.140625" style="279"/>
    <col min="4095" max="4095" width="4" style="279" customWidth="1"/>
    <col min="4096" max="4096" width="10.5703125" style="279" customWidth="1"/>
    <col min="4097" max="4097" width="11.140625" style="279" customWidth="1"/>
    <col min="4098" max="4098" width="8.7109375" style="279" customWidth="1"/>
    <col min="4099" max="4099" width="8" style="279" customWidth="1"/>
    <col min="4100" max="4100" width="10.28515625" style="279" customWidth="1"/>
    <col min="4101" max="4101" width="7.140625" style="279" customWidth="1"/>
    <col min="4102" max="4102" width="6.85546875" style="279" customWidth="1"/>
    <col min="4103" max="4103" width="11.7109375" style="279" customWidth="1"/>
    <col min="4104" max="4104" width="11.5703125" style="279" customWidth="1"/>
    <col min="4105" max="4105" width="9.140625" style="279"/>
    <col min="4106" max="4106" width="10.5703125" style="279" bestFit="1" customWidth="1"/>
    <col min="4107" max="4107" width="9.140625" style="279"/>
    <col min="4108" max="4108" width="12.140625" style="279" customWidth="1"/>
    <col min="4109" max="4350" width="9.140625" style="279"/>
    <col min="4351" max="4351" width="4" style="279" customWidth="1"/>
    <col min="4352" max="4352" width="10.5703125" style="279" customWidth="1"/>
    <col min="4353" max="4353" width="11.140625" style="279" customWidth="1"/>
    <col min="4354" max="4354" width="8.7109375" style="279" customWidth="1"/>
    <col min="4355" max="4355" width="8" style="279" customWidth="1"/>
    <col min="4356" max="4356" width="10.28515625" style="279" customWidth="1"/>
    <col min="4357" max="4357" width="7.140625" style="279" customWidth="1"/>
    <col min="4358" max="4358" width="6.85546875" style="279" customWidth="1"/>
    <col min="4359" max="4359" width="11.7109375" style="279" customWidth="1"/>
    <col min="4360" max="4360" width="11.5703125" style="279" customWidth="1"/>
    <col min="4361" max="4361" width="9.140625" style="279"/>
    <col min="4362" max="4362" width="10.5703125" style="279" bestFit="1" customWidth="1"/>
    <col min="4363" max="4363" width="9.140625" style="279"/>
    <col min="4364" max="4364" width="12.140625" style="279" customWidth="1"/>
    <col min="4365" max="4606" width="9.140625" style="279"/>
    <col min="4607" max="4607" width="4" style="279" customWidth="1"/>
    <col min="4608" max="4608" width="10.5703125" style="279" customWidth="1"/>
    <col min="4609" max="4609" width="11.140625" style="279" customWidth="1"/>
    <col min="4610" max="4610" width="8.7109375" style="279" customWidth="1"/>
    <col min="4611" max="4611" width="8" style="279" customWidth="1"/>
    <col min="4612" max="4612" width="10.28515625" style="279" customWidth="1"/>
    <col min="4613" max="4613" width="7.140625" style="279" customWidth="1"/>
    <col min="4614" max="4614" width="6.85546875" style="279" customWidth="1"/>
    <col min="4615" max="4615" width="11.7109375" style="279" customWidth="1"/>
    <col min="4616" max="4616" width="11.5703125" style="279" customWidth="1"/>
    <col min="4617" max="4617" width="9.140625" style="279"/>
    <col min="4618" max="4618" width="10.5703125" style="279" bestFit="1" customWidth="1"/>
    <col min="4619" max="4619" width="9.140625" style="279"/>
    <col min="4620" max="4620" width="12.140625" style="279" customWidth="1"/>
    <col min="4621" max="4862" width="9.140625" style="279"/>
    <col min="4863" max="4863" width="4" style="279" customWidth="1"/>
    <col min="4864" max="4864" width="10.5703125" style="279" customWidth="1"/>
    <col min="4865" max="4865" width="11.140625" style="279" customWidth="1"/>
    <col min="4866" max="4866" width="8.7109375" style="279" customWidth="1"/>
    <col min="4867" max="4867" width="8" style="279" customWidth="1"/>
    <col min="4868" max="4868" width="10.28515625" style="279" customWidth="1"/>
    <col min="4869" max="4869" width="7.140625" style="279" customWidth="1"/>
    <col min="4870" max="4870" width="6.85546875" style="279" customWidth="1"/>
    <col min="4871" max="4871" width="11.7109375" style="279" customWidth="1"/>
    <col min="4872" max="4872" width="11.5703125" style="279" customWidth="1"/>
    <col min="4873" max="4873" width="9.140625" style="279"/>
    <col min="4874" max="4874" width="10.5703125" style="279" bestFit="1" customWidth="1"/>
    <col min="4875" max="4875" width="9.140625" style="279"/>
    <col min="4876" max="4876" width="12.140625" style="279" customWidth="1"/>
    <col min="4877" max="5118" width="9.140625" style="279"/>
    <col min="5119" max="5119" width="4" style="279" customWidth="1"/>
    <col min="5120" max="5120" width="10.5703125" style="279" customWidth="1"/>
    <col min="5121" max="5121" width="11.140625" style="279" customWidth="1"/>
    <col min="5122" max="5122" width="8.7109375" style="279" customWidth="1"/>
    <col min="5123" max="5123" width="8" style="279" customWidth="1"/>
    <col min="5124" max="5124" width="10.28515625" style="279" customWidth="1"/>
    <col min="5125" max="5125" width="7.140625" style="279" customWidth="1"/>
    <col min="5126" max="5126" width="6.85546875" style="279" customWidth="1"/>
    <col min="5127" max="5127" width="11.7109375" style="279" customWidth="1"/>
    <col min="5128" max="5128" width="11.5703125" style="279" customWidth="1"/>
    <col min="5129" max="5129" width="9.140625" style="279"/>
    <col min="5130" max="5130" width="10.5703125" style="279" bestFit="1" customWidth="1"/>
    <col min="5131" max="5131" width="9.140625" style="279"/>
    <col min="5132" max="5132" width="12.140625" style="279" customWidth="1"/>
    <col min="5133" max="5374" width="9.140625" style="279"/>
    <col min="5375" max="5375" width="4" style="279" customWidth="1"/>
    <col min="5376" max="5376" width="10.5703125" style="279" customWidth="1"/>
    <col min="5377" max="5377" width="11.140625" style="279" customWidth="1"/>
    <col min="5378" max="5378" width="8.7109375" style="279" customWidth="1"/>
    <col min="5379" max="5379" width="8" style="279" customWidth="1"/>
    <col min="5380" max="5380" width="10.28515625" style="279" customWidth="1"/>
    <col min="5381" max="5381" width="7.140625" style="279" customWidth="1"/>
    <col min="5382" max="5382" width="6.85546875" style="279" customWidth="1"/>
    <col min="5383" max="5383" width="11.7109375" style="279" customWidth="1"/>
    <col min="5384" max="5384" width="11.5703125" style="279" customWidth="1"/>
    <col min="5385" max="5385" width="9.140625" style="279"/>
    <col min="5386" max="5386" width="10.5703125" style="279" bestFit="1" customWidth="1"/>
    <col min="5387" max="5387" width="9.140625" style="279"/>
    <col min="5388" max="5388" width="12.140625" style="279" customWidth="1"/>
    <col min="5389" max="5630" width="9.140625" style="279"/>
    <col min="5631" max="5631" width="4" style="279" customWidth="1"/>
    <col min="5632" max="5632" width="10.5703125" style="279" customWidth="1"/>
    <col min="5633" max="5633" width="11.140625" style="279" customWidth="1"/>
    <col min="5634" max="5634" width="8.7109375" style="279" customWidth="1"/>
    <col min="5635" max="5635" width="8" style="279" customWidth="1"/>
    <col min="5636" max="5636" width="10.28515625" style="279" customWidth="1"/>
    <col min="5637" max="5637" width="7.140625" style="279" customWidth="1"/>
    <col min="5638" max="5638" width="6.85546875" style="279" customWidth="1"/>
    <col min="5639" max="5639" width="11.7109375" style="279" customWidth="1"/>
    <col min="5640" max="5640" width="11.5703125" style="279" customWidth="1"/>
    <col min="5641" max="5641" width="9.140625" style="279"/>
    <col min="5642" max="5642" width="10.5703125" style="279" bestFit="1" customWidth="1"/>
    <col min="5643" max="5643" width="9.140625" style="279"/>
    <col min="5644" max="5644" width="12.140625" style="279" customWidth="1"/>
    <col min="5645" max="5886" width="9.140625" style="279"/>
    <col min="5887" max="5887" width="4" style="279" customWidth="1"/>
    <col min="5888" max="5888" width="10.5703125" style="279" customWidth="1"/>
    <col min="5889" max="5889" width="11.140625" style="279" customWidth="1"/>
    <col min="5890" max="5890" width="8.7109375" style="279" customWidth="1"/>
    <col min="5891" max="5891" width="8" style="279" customWidth="1"/>
    <col min="5892" max="5892" width="10.28515625" style="279" customWidth="1"/>
    <col min="5893" max="5893" width="7.140625" style="279" customWidth="1"/>
    <col min="5894" max="5894" width="6.85546875" style="279" customWidth="1"/>
    <col min="5895" max="5895" width="11.7109375" style="279" customWidth="1"/>
    <col min="5896" max="5896" width="11.5703125" style="279" customWidth="1"/>
    <col min="5897" max="5897" width="9.140625" style="279"/>
    <col min="5898" max="5898" width="10.5703125" style="279" bestFit="1" customWidth="1"/>
    <col min="5899" max="5899" width="9.140625" style="279"/>
    <col min="5900" max="5900" width="12.140625" style="279" customWidth="1"/>
    <col min="5901" max="6142" width="9.140625" style="279"/>
    <col min="6143" max="6143" width="4" style="279" customWidth="1"/>
    <col min="6144" max="6144" width="10.5703125" style="279" customWidth="1"/>
    <col min="6145" max="6145" width="11.140625" style="279" customWidth="1"/>
    <col min="6146" max="6146" width="8.7109375" style="279" customWidth="1"/>
    <col min="6147" max="6147" width="8" style="279" customWidth="1"/>
    <col min="6148" max="6148" width="10.28515625" style="279" customWidth="1"/>
    <col min="6149" max="6149" width="7.140625" style="279" customWidth="1"/>
    <col min="6150" max="6150" width="6.85546875" style="279" customWidth="1"/>
    <col min="6151" max="6151" width="11.7109375" style="279" customWidth="1"/>
    <col min="6152" max="6152" width="11.5703125" style="279" customWidth="1"/>
    <col min="6153" max="6153" width="9.140625" style="279"/>
    <col min="6154" max="6154" width="10.5703125" style="279" bestFit="1" customWidth="1"/>
    <col min="6155" max="6155" width="9.140625" style="279"/>
    <col min="6156" max="6156" width="12.140625" style="279" customWidth="1"/>
    <col min="6157" max="6398" width="9.140625" style="279"/>
    <col min="6399" max="6399" width="4" style="279" customWidth="1"/>
    <col min="6400" max="6400" width="10.5703125" style="279" customWidth="1"/>
    <col min="6401" max="6401" width="11.140625" style="279" customWidth="1"/>
    <col min="6402" max="6402" width="8.7109375" style="279" customWidth="1"/>
    <col min="6403" max="6403" width="8" style="279" customWidth="1"/>
    <col min="6404" max="6404" width="10.28515625" style="279" customWidth="1"/>
    <col min="6405" max="6405" width="7.140625" style="279" customWidth="1"/>
    <col min="6406" max="6406" width="6.85546875" style="279" customWidth="1"/>
    <col min="6407" max="6407" width="11.7109375" style="279" customWidth="1"/>
    <col min="6408" max="6408" width="11.5703125" style="279" customWidth="1"/>
    <col min="6409" max="6409" width="9.140625" style="279"/>
    <col min="6410" max="6410" width="10.5703125" style="279" bestFit="1" customWidth="1"/>
    <col min="6411" max="6411" width="9.140625" style="279"/>
    <col min="6412" max="6412" width="12.140625" style="279" customWidth="1"/>
    <col min="6413" max="6654" width="9.140625" style="279"/>
    <col min="6655" max="6655" width="4" style="279" customWidth="1"/>
    <col min="6656" max="6656" width="10.5703125" style="279" customWidth="1"/>
    <col min="6657" max="6657" width="11.140625" style="279" customWidth="1"/>
    <col min="6658" max="6658" width="8.7109375" style="279" customWidth="1"/>
    <col min="6659" max="6659" width="8" style="279" customWidth="1"/>
    <col min="6660" max="6660" width="10.28515625" style="279" customWidth="1"/>
    <col min="6661" max="6661" width="7.140625" style="279" customWidth="1"/>
    <col min="6662" max="6662" width="6.85546875" style="279" customWidth="1"/>
    <col min="6663" max="6663" width="11.7109375" style="279" customWidth="1"/>
    <col min="6664" max="6664" width="11.5703125" style="279" customWidth="1"/>
    <col min="6665" max="6665" width="9.140625" style="279"/>
    <col min="6666" max="6666" width="10.5703125" style="279" bestFit="1" customWidth="1"/>
    <col min="6667" max="6667" width="9.140625" style="279"/>
    <col min="6668" max="6668" width="12.140625" style="279" customWidth="1"/>
    <col min="6669" max="6910" width="9.140625" style="279"/>
    <col min="6911" max="6911" width="4" style="279" customWidth="1"/>
    <col min="6912" max="6912" width="10.5703125" style="279" customWidth="1"/>
    <col min="6913" max="6913" width="11.140625" style="279" customWidth="1"/>
    <col min="6914" max="6914" width="8.7109375" style="279" customWidth="1"/>
    <col min="6915" max="6915" width="8" style="279" customWidth="1"/>
    <col min="6916" max="6916" width="10.28515625" style="279" customWidth="1"/>
    <col min="6917" max="6917" width="7.140625" style="279" customWidth="1"/>
    <col min="6918" max="6918" width="6.85546875" style="279" customWidth="1"/>
    <col min="6919" max="6919" width="11.7109375" style="279" customWidth="1"/>
    <col min="6920" max="6920" width="11.5703125" style="279" customWidth="1"/>
    <col min="6921" max="6921" width="9.140625" style="279"/>
    <col min="6922" max="6922" width="10.5703125" style="279" bestFit="1" customWidth="1"/>
    <col min="6923" max="6923" width="9.140625" style="279"/>
    <col min="6924" max="6924" width="12.140625" style="279" customWidth="1"/>
    <col min="6925" max="7166" width="9.140625" style="279"/>
    <col min="7167" max="7167" width="4" style="279" customWidth="1"/>
    <col min="7168" max="7168" width="10.5703125" style="279" customWidth="1"/>
    <col min="7169" max="7169" width="11.140625" style="279" customWidth="1"/>
    <col min="7170" max="7170" width="8.7109375" style="279" customWidth="1"/>
    <col min="7171" max="7171" width="8" style="279" customWidth="1"/>
    <col min="7172" max="7172" width="10.28515625" style="279" customWidth="1"/>
    <col min="7173" max="7173" width="7.140625" style="279" customWidth="1"/>
    <col min="7174" max="7174" width="6.85546875" style="279" customWidth="1"/>
    <col min="7175" max="7175" width="11.7109375" style="279" customWidth="1"/>
    <col min="7176" max="7176" width="11.5703125" style="279" customWidth="1"/>
    <col min="7177" max="7177" width="9.140625" style="279"/>
    <col min="7178" max="7178" width="10.5703125" style="279" bestFit="1" customWidth="1"/>
    <col min="7179" max="7179" width="9.140625" style="279"/>
    <col min="7180" max="7180" width="12.140625" style="279" customWidth="1"/>
    <col min="7181" max="7422" width="9.140625" style="279"/>
    <col min="7423" max="7423" width="4" style="279" customWidth="1"/>
    <col min="7424" max="7424" width="10.5703125" style="279" customWidth="1"/>
    <col min="7425" max="7425" width="11.140625" style="279" customWidth="1"/>
    <col min="7426" max="7426" width="8.7109375" style="279" customWidth="1"/>
    <col min="7427" max="7427" width="8" style="279" customWidth="1"/>
    <col min="7428" max="7428" width="10.28515625" style="279" customWidth="1"/>
    <col min="7429" max="7429" width="7.140625" style="279" customWidth="1"/>
    <col min="7430" max="7430" width="6.85546875" style="279" customWidth="1"/>
    <col min="7431" max="7431" width="11.7109375" style="279" customWidth="1"/>
    <col min="7432" max="7432" width="11.5703125" style="279" customWidth="1"/>
    <col min="7433" max="7433" width="9.140625" style="279"/>
    <col min="7434" max="7434" width="10.5703125" style="279" bestFit="1" customWidth="1"/>
    <col min="7435" max="7435" width="9.140625" style="279"/>
    <col min="7436" max="7436" width="12.140625" style="279" customWidth="1"/>
    <col min="7437" max="7678" width="9.140625" style="279"/>
    <col min="7679" max="7679" width="4" style="279" customWidth="1"/>
    <col min="7680" max="7680" width="10.5703125" style="279" customWidth="1"/>
    <col min="7681" max="7681" width="11.140625" style="279" customWidth="1"/>
    <col min="7682" max="7682" width="8.7109375" style="279" customWidth="1"/>
    <col min="7683" max="7683" width="8" style="279" customWidth="1"/>
    <col min="7684" max="7684" width="10.28515625" style="279" customWidth="1"/>
    <col min="7685" max="7685" width="7.140625" style="279" customWidth="1"/>
    <col min="7686" max="7686" width="6.85546875" style="279" customWidth="1"/>
    <col min="7687" max="7687" width="11.7109375" style="279" customWidth="1"/>
    <col min="7688" max="7688" width="11.5703125" style="279" customWidth="1"/>
    <col min="7689" max="7689" width="9.140625" style="279"/>
    <col min="7690" max="7690" width="10.5703125" style="279" bestFit="1" customWidth="1"/>
    <col min="7691" max="7691" width="9.140625" style="279"/>
    <col min="7692" max="7692" width="12.140625" style="279" customWidth="1"/>
    <col min="7693" max="7934" width="9.140625" style="279"/>
    <col min="7935" max="7935" width="4" style="279" customWidth="1"/>
    <col min="7936" max="7936" width="10.5703125" style="279" customWidth="1"/>
    <col min="7937" max="7937" width="11.140625" style="279" customWidth="1"/>
    <col min="7938" max="7938" width="8.7109375" style="279" customWidth="1"/>
    <col min="7939" max="7939" width="8" style="279" customWidth="1"/>
    <col min="7940" max="7940" width="10.28515625" style="279" customWidth="1"/>
    <col min="7941" max="7941" width="7.140625" style="279" customWidth="1"/>
    <col min="7942" max="7942" width="6.85546875" style="279" customWidth="1"/>
    <col min="7943" max="7943" width="11.7109375" style="279" customWidth="1"/>
    <col min="7944" max="7944" width="11.5703125" style="279" customWidth="1"/>
    <col min="7945" max="7945" width="9.140625" style="279"/>
    <col min="7946" max="7946" width="10.5703125" style="279" bestFit="1" customWidth="1"/>
    <col min="7947" max="7947" width="9.140625" style="279"/>
    <col min="7948" max="7948" width="12.140625" style="279" customWidth="1"/>
    <col min="7949" max="8190" width="9.140625" style="279"/>
    <col min="8191" max="8191" width="4" style="279" customWidth="1"/>
    <col min="8192" max="8192" width="10.5703125" style="279" customWidth="1"/>
    <col min="8193" max="8193" width="11.140625" style="279" customWidth="1"/>
    <col min="8194" max="8194" width="8.7109375" style="279" customWidth="1"/>
    <col min="8195" max="8195" width="8" style="279" customWidth="1"/>
    <col min="8196" max="8196" width="10.28515625" style="279" customWidth="1"/>
    <col min="8197" max="8197" width="7.140625" style="279" customWidth="1"/>
    <col min="8198" max="8198" width="6.85546875" style="279" customWidth="1"/>
    <col min="8199" max="8199" width="11.7109375" style="279" customWidth="1"/>
    <col min="8200" max="8200" width="11.5703125" style="279" customWidth="1"/>
    <col min="8201" max="8201" width="9.140625" style="279"/>
    <col min="8202" max="8202" width="10.5703125" style="279" bestFit="1" customWidth="1"/>
    <col min="8203" max="8203" width="9.140625" style="279"/>
    <col min="8204" max="8204" width="12.140625" style="279" customWidth="1"/>
    <col min="8205" max="8446" width="9.140625" style="279"/>
    <col min="8447" max="8447" width="4" style="279" customWidth="1"/>
    <col min="8448" max="8448" width="10.5703125" style="279" customWidth="1"/>
    <col min="8449" max="8449" width="11.140625" style="279" customWidth="1"/>
    <col min="8450" max="8450" width="8.7109375" style="279" customWidth="1"/>
    <col min="8451" max="8451" width="8" style="279" customWidth="1"/>
    <col min="8452" max="8452" width="10.28515625" style="279" customWidth="1"/>
    <col min="8453" max="8453" width="7.140625" style="279" customWidth="1"/>
    <col min="8454" max="8454" width="6.85546875" style="279" customWidth="1"/>
    <col min="8455" max="8455" width="11.7109375" style="279" customWidth="1"/>
    <col min="8456" max="8456" width="11.5703125" style="279" customWidth="1"/>
    <col min="8457" max="8457" width="9.140625" style="279"/>
    <col min="8458" max="8458" width="10.5703125" style="279" bestFit="1" customWidth="1"/>
    <col min="8459" max="8459" width="9.140625" style="279"/>
    <col min="8460" max="8460" width="12.140625" style="279" customWidth="1"/>
    <col min="8461" max="8702" width="9.140625" style="279"/>
    <col min="8703" max="8703" width="4" style="279" customWidth="1"/>
    <col min="8704" max="8704" width="10.5703125" style="279" customWidth="1"/>
    <col min="8705" max="8705" width="11.140625" style="279" customWidth="1"/>
    <col min="8706" max="8706" width="8.7109375" style="279" customWidth="1"/>
    <col min="8707" max="8707" width="8" style="279" customWidth="1"/>
    <col min="8708" max="8708" width="10.28515625" style="279" customWidth="1"/>
    <col min="8709" max="8709" width="7.140625" style="279" customWidth="1"/>
    <col min="8710" max="8710" width="6.85546875" style="279" customWidth="1"/>
    <col min="8711" max="8711" width="11.7109375" style="279" customWidth="1"/>
    <col min="8712" max="8712" width="11.5703125" style="279" customWidth="1"/>
    <col min="8713" max="8713" width="9.140625" style="279"/>
    <col min="8714" max="8714" width="10.5703125" style="279" bestFit="1" customWidth="1"/>
    <col min="8715" max="8715" width="9.140625" style="279"/>
    <col min="8716" max="8716" width="12.140625" style="279" customWidth="1"/>
    <col min="8717" max="8958" width="9.140625" style="279"/>
    <col min="8959" max="8959" width="4" style="279" customWidth="1"/>
    <col min="8960" max="8960" width="10.5703125" style="279" customWidth="1"/>
    <col min="8961" max="8961" width="11.140625" style="279" customWidth="1"/>
    <col min="8962" max="8962" width="8.7109375" style="279" customWidth="1"/>
    <col min="8963" max="8963" width="8" style="279" customWidth="1"/>
    <col min="8964" max="8964" width="10.28515625" style="279" customWidth="1"/>
    <col min="8965" max="8965" width="7.140625" style="279" customWidth="1"/>
    <col min="8966" max="8966" width="6.85546875" style="279" customWidth="1"/>
    <col min="8967" max="8967" width="11.7109375" style="279" customWidth="1"/>
    <col min="8968" max="8968" width="11.5703125" style="279" customWidth="1"/>
    <col min="8969" max="8969" width="9.140625" style="279"/>
    <col min="8970" max="8970" width="10.5703125" style="279" bestFit="1" customWidth="1"/>
    <col min="8971" max="8971" width="9.140625" style="279"/>
    <col min="8972" max="8972" width="12.140625" style="279" customWidth="1"/>
    <col min="8973" max="9214" width="9.140625" style="279"/>
    <col min="9215" max="9215" width="4" style="279" customWidth="1"/>
    <col min="9216" max="9216" width="10.5703125" style="279" customWidth="1"/>
    <col min="9217" max="9217" width="11.140625" style="279" customWidth="1"/>
    <col min="9218" max="9218" width="8.7109375" style="279" customWidth="1"/>
    <col min="9219" max="9219" width="8" style="279" customWidth="1"/>
    <col min="9220" max="9220" width="10.28515625" style="279" customWidth="1"/>
    <col min="9221" max="9221" width="7.140625" style="279" customWidth="1"/>
    <col min="9222" max="9222" width="6.85546875" style="279" customWidth="1"/>
    <col min="9223" max="9223" width="11.7109375" style="279" customWidth="1"/>
    <col min="9224" max="9224" width="11.5703125" style="279" customWidth="1"/>
    <col min="9225" max="9225" width="9.140625" style="279"/>
    <col min="9226" max="9226" width="10.5703125" style="279" bestFit="1" customWidth="1"/>
    <col min="9227" max="9227" width="9.140625" style="279"/>
    <col min="9228" max="9228" width="12.140625" style="279" customWidth="1"/>
    <col min="9229" max="9470" width="9.140625" style="279"/>
    <col min="9471" max="9471" width="4" style="279" customWidth="1"/>
    <col min="9472" max="9472" width="10.5703125" style="279" customWidth="1"/>
    <col min="9473" max="9473" width="11.140625" style="279" customWidth="1"/>
    <col min="9474" max="9474" width="8.7109375" style="279" customWidth="1"/>
    <col min="9475" max="9475" width="8" style="279" customWidth="1"/>
    <col min="9476" max="9476" width="10.28515625" style="279" customWidth="1"/>
    <col min="9477" max="9477" width="7.140625" style="279" customWidth="1"/>
    <col min="9478" max="9478" width="6.85546875" style="279" customWidth="1"/>
    <col min="9479" max="9479" width="11.7109375" style="279" customWidth="1"/>
    <col min="9480" max="9480" width="11.5703125" style="279" customWidth="1"/>
    <col min="9481" max="9481" width="9.140625" style="279"/>
    <col min="9482" max="9482" width="10.5703125" style="279" bestFit="1" customWidth="1"/>
    <col min="9483" max="9483" width="9.140625" style="279"/>
    <col min="9484" max="9484" width="12.140625" style="279" customWidth="1"/>
    <col min="9485" max="9726" width="9.140625" style="279"/>
    <col min="9727" max="9727" width="4" style="279" customWidth="1"/>
    <col min="9728" max="9728" width="10.5703125" style="279" customWidth="1"/>
    <col min="9729" max="9729" width="11.140625" style="279" customWidth="1"/>
    <col min="9730" max="9730" width="8.7109375" style="279" customWidth="1"/>
    <col min="9731" max="9731" width="8" style="279" customWidth="1"/>
    <col min="9732" max="9732" width="10.28515625" style="279" customWidth="1"/>
    <col min="9733" max="9733" width="7.140625" style="279" customWidth="1"/>
    <col min="9734" max="9734" width="6.85546875" style="279" customWidth="1"/>
    <col min="9735" max="9735" width="11.7109375" style="279" customWidth="1"/>
    <col min="9736" max="9736" width="11.5703125" style="279" customWidth="1"/>
    <col min="9737" max="9737" width="9.140625" style="279"/>
    <col min="9738" max="9738" width="10.5703125" style="279" bestFit="1" customWidth="1"/>
    <col min="9739" max="9739" width="9.140625" style="279"/>
    <col min="9740" max="9740" width="12.140625" style="279" customWidth="1"/>
    <col min="9741" max="9982" width="9.140625" style="279"/>
    <col min="9983" max="9983" width="4" style="279" customWidth="1"/>
    <col min="9984" max="9984" width="10.5703125" style="279" customWidth="1"/>
    <col min="9985" max="9985" width="11.140625" style="279" customWidth="1"/>
    <col min="9986" max="9986" width="8.7109375" style="279" customWidth="1"/>
    <col min="9987" max="9987" width="8" style="279" customWidth="1"/>
    <col min="9988" max="9988" width="10.28515625" style="279" customWidth="1"/>
    <col min="9989" max="9989" width="7.140625" style="279" customWidth="1"/>
    <col min="9990" max="9990" width="6.85546875" style="279" customWidth="1"/>
    <col min="9991" max="9991" width="11.7109375" style="279" customWidth="1"/>
    <col min="9992" max="9992" width="11.5703125" style="279" customWidth="1"/>
    <col min="9993" max="9993" width="9.140625" style="279"/>
    <col min="9994" max="9994" width="10.5703125" style="279" bestFit="1" customWidth="1"/>
    <col min="9995" max="9995" width="9.140625" style="279"/>
    <col min="9996" max="9996" width="12.140625" style="279" customWidth="1"/>
    <col min="9997" max="10238" width="9.140625" style="279"/>
    <col min="10239" max="10239" width="4" style="279" customWidth="1"/>
    <col min="10240" max="10240" width="10.5703125" style="279" customWidth="1"/>
    <col min="10241" max="10241" width="11.140625" style="279" customWidth="1"/>
    <col min="10242" max="10242" width="8.7109375" style="279" customWidth="1"/>
    <col min="10243" max="10243" width="8" style="279" customWidth="1"/>
    <col min="10244" max="10244" width="10.28515625" style="279" customWidth="1"/>
    <col min="10245" max="10245" width="7.140625" style="279" customWidth="1"/>
    <col min="10246" max="10246" width="6.85546875" style="279" customWidth="1"/>
    <col min="10247" max="10247" width="11.7109375" style="279" customWidth="1"/>
    <col min="10248" max="10248" width="11.5703125" style="279" customWidth="1"/>
    <col min="10249" max="10249" width="9.140625" style="279"/>
    <col min="10250" max="10250" width="10.5703125" style="279" bestFit="1" customWidth="1"/>
    <col min="10251" max="10251" width="9.140625" style="279"/>
    <col min="10252" max="10252" width="12.140625" style="279" customWidth="1"/>
    <col min="10253" max="10494" width="9.140625" style="279"/>
    <col min="10495" max="10495" width="4" style="279" customWidth="1"/>
    <col min="10496" max="10496" width="10.5703125" style="279" customWidth="1"/>
    <col min="10497" max="10497" width="11.140625" style="279" customWidth="1"/>
    <col min="10498" max="10498" width="8.7109375" style="279" customWidth="1"/>
    <col min="10499" max="10499" width="8" style="279" customWidth="1"/>
    <col min="10500" max="10500" width="10.28515625" style="279" customWidth="1"/>
    <col min="10501" max="10501" width="7.140625" style="279" customWidth="1"/>
    <col min="10502" max="10502" width="6.85546875" style="279" customWidth="1"/>
    <col min="10503" max="10503" width="11.7109375" style="279" customWidth="1"/>
    <col min="10504" max="10504" width="11.5703125" style="279" customWidth="1"/>
    <col min="10505" max="10505" width="9.140625" style="279"/>
    <col min="10506" max="10506" width="10.5703125" style="279" bestFit="1" customWidth="1"/>
    <col min="10507" max="10507" width="9.140625" style="279"/>
    <col min="10508" max="10508" width="12.140625" style="279" customWidth="1"/>
    <col min="10509" max="10750" width="9.140625" style="279"/>
    <col min="10751" max="10751" width="4" style="279" customWidth="1"/>
    <col min="10752" max="10752" width="10.5703125" style="279" customWidth="1"/>
    <col min="10753" max="10753" width="11.140625" style="279" customWidth="1"/>
    <col min="10754" max="10754" width="8.7109375" style="279" customWidth="1"/>
    <col min="10755" max="10755" width="8" style="279" customWidth="1"/>
    <col min="10756" max="10756" width="10.28515625" style="279" customWidth="1"/>
    <col min="10757" max="10757" width="7.140625" style="279" customWidth="1"/>
    <col min="10758" max="10758" width="6.85546875" style="279" customWidth="1"/>
    <col min="10759" max="10759" width="11.7109375" style="279" customWidth="1"/>
    <col min="10760" max="10760" width="11.5703125" style="279" customWidth="1"/>
    <col min="10761" max="10761" width="9.140625" style="279"/>
    <col min="10762" max="10762" width="10.5703125" style="279" bestFit="1" customWidth="1"/>
    <col min="10763" max="10763" width="9.140625" style="279"/>
    <col min="10764" max="10764" width="12.140625" style="279" customWidth="1"/>
    <col min="10765" max="11006" width="9.140625" style="279"/>
    <col min="11007" max="11007" width="4" style="279" customWidth="1"/>
    <col min="11008" max="11008" width="10.5703125" style="279" customWidth="1"/>
    <col min="11009" max="11009" width="11.140625" style="279" customWidth="1"/>
    <col min="11010" max="11010" width="8.7109375" style="279" customWidth="1"/>
    <col min="11011" max="11011" width="8" style="279" customWidth="1"/>
    <col min="11012" max="11012" width="10.28515625" style="279" customWidth="1"/>
    <col min="11013" max="11013" width="7.140625" style="279" customWidth="1"/>
    <col min="11014" max="11014" width="6.85546875" style="279" customWidth="1"/>
    <col min="11015" max="11015" width="11.7109375" style="279" customWidth="1"/>
    <col min="11016" max="11016" width="11.5703125" style="279" customWidth="1"/>
    <col min="11017" max="11017" width="9.140625" style="279"/>
    <col min="11018" max="11018" width="10.5703125" style="279" bestFit="1" customWidth="1"/>
    <col min="11019" max="11019" width="9.140625" style="279"/>
    <col min="11020" max="11020" width="12.140625" style="279" customWidth="1"/>
    <col min="11021" max="11262" width="9.140625" style="279"/>
    <col min="11263" max="11263" width="4" style="279" customWidth="1"/>
    <col min="11264" max="11264" width="10.5703125" style="279" customWidth="1"/>
    <col min="11265" max="11265" width="11.140625" style="279" customWidth="1"/>
    <col min="11266" max="11266" width="8.7109375" style="279" customWidth="1"/>
    <col min="11267" max="11267" width="8" style="279" customWidth="1"/>
    <col min="11268" max="11268" width="10.28515625" style="279" customWidth="1"/>
    <col min="11269" max="11269" width="7.140625" style="279" customWidth="1"/>
    <col min="11270" max="11270" width="6.85546875" style="279" customWidth="1"/>
    <col min="11271" max="11271" width="11.7109375" style="279" customWidth="1"/>
    <col min="11272" max="11272" width="11.5703125" style="279" customWidth="1"/>
    <col min="11273" max="11273" width="9.140625" style="279"/>
    <col min="11274" max="11274" width="10.5703125" style="279" bestFit="1" customWidth="1"/>
    <col min="11275" max="11275" width="9.140625" style="279"/>
    <col min="11276" max="11276" width="12.140625" style="279" customWidth="1"/>
    <col min="11277" max="11518" width="9.140625" style="279"/>
    <col min="11519" max="11519" width="4" style="279" customWidth="1"/>
    <col min="11520" max="11520" width="10.5703125" style="279" customWidth="1"/>
    <col min="11521" max="11521" width="11.140625" style="279" customWidth="1"/>
    <col min="11522" max="11522" width="8.7109375" style="279" customWidth="1"/>
    <col min="11523" max="11523" width="8" style="279" customWidth="1"/>
    <col min="11524" max="11524" width="10.28515625" style="279" customWidth="1"/>
    <col min="11525" max="11525" width="7.140625" style="279" customWidth="1"/>
    <col min="11526" max="11526" width="6.85546875" style="279" customWidth="1"/>
    <col min="11527" max="11527" width="11.7109375" style="279" customWidth="1"/>
    <col min="11528" max="11528" width="11.5703125" style="279" customWidth="1"/>
    <col min="11529" max="11529" width="9.140625" style="279"/>
    <col min="11530" max="11530" width="10.5703125" style="279" bestFit="1" customWidth="1"/>
    <col min="11531" max="11531" width="9.140625" style="279"/>
    <col min="11532" max="11532" width="12.140625" style="279" customWidth="1"/>
    <col min="11533" max="11774" width="9.140625" style="279"/>
    <col min="11775" max="11775" width="4" style="279" customWidth="1"/>
    <col min="11776" max="11776" width="10.5703125" style="279" customWidth="1"/>
    <col min="11777" max="11777" width="11.140625" style="279" customWidth="1"/>
    <col min="11778" max="11778" width="8.7109375" style="279" customWidth="1"/>
    <col min="11779" max="11779" width="8" style="279" customWidth="1"/>
    <col min="11780" max="11780" width="10.28515625" style="279" customWidth="1"/>
    <col min="11781" max="11781" width="7.140625" style="279" customWidth="1"/>
    <col min="11782" max="11782" width="6.85546875" style="279" customWidth="1"/>
    <col min="11783" max="11783" width="11.7109375" style="279" customWidth="1"/>
    <col min="11784" max="11784" width="11.5703125" style="279" customWidth="1"/>
    <col min="11785" max="11785" width="9.140625" style="279"/>
    <col min="11786" max="11786" width="10.5703125" style="279" bestFit="1" customWidth="1"/>
    <col min="11787" max="11787" width="9.140625" style="279"/>
    <col min="11788" max="11788" width="12.140625" style="279" customWidth="1"/>
    <col min="11789" max="12030" width="9.140625" style="279"/>
    <col min="12031" max="12031" width="4" style="279" customWidth="1"/>
    <col min="12032" max="12032" width="10.5703125" style="279" customWidth="1"/>
    <col min="12033" max="12033" width="11.140625" style="279" customWidth="1"/>
    <col min="12034" max="12034" width="8.7109375" style="279" customWidth="1"/>
    <col min="12035" max="12035" width="8" style="279" customWidth="1"/>
    <col min="12036" max="12036" width="10.28515625" style="279" customWidth="1"/>
    <col min="12037" max="12037" width="7.140625" style="279" customWidth="1"/>
    <col min="12038" max="12038" width="6.85546875" style="279" customWidth="1"/>
    <col min="12039" max="12039" width="11.7109375" style="279" customWidth="1"/>
    <col min="12040" max="12040" width="11.5703125" style="279" customWidth="1"/>
    <col min="12041" max="12041" width="9.140625" style="279"/>
    <col min="12042" max="12042" width="10.5703125" style="279" bestFit="1" customWidth="1"/>
    <col min="12043" max="12043" width="9.140625" style="279"/>
    <col min="12044" max="12044" width="12.140625" style="279" customWidth="1"/>
    <col min="12045" max="12286" width="9.140625" style="279"/>
    <col min="12287" max="12287" width="4" style="279" customWidth="1"/>
    <col min="12288" max="12288" width="10.5703125" style="279" customWidth="1"/>
    <col min="12289" max="12289" width="11.140625" style="279" customWidth="1"/>
    <col min="12290" max="12290" width="8.7109375" style="279" customWidth="1"/>
    <col min="12291" max="12291" width="8" style="279" customWidth="1"/>
    <col min="12292" max="12292" width="10.28515625" style="279" customWidth="1"/>
    <col min="12293" max="12293" width="7.140625" style="279" customWidth="1"/>
    <col min="12294" max="12294" width="6.85546875" style="279" customWidth="1"/>
    <col min="12295" max="12295" width="11.7109375" style="279" customWidth="1"/>
    <col min="12296" max="12296" width="11.5703125" style="279" customWidth="1"/>
    <col min="12297" max="12297" width="9.140625" style="279"/>
    <col min="12298" max="12298" width="10.5703125" style="279" bestFit="1" customWidth="1"/>
    <col min="12299" max="12299" width="9.140625" style="279"/>
    <col min="12300" max="12300" width="12.140625" style="279" customWidth="1"/>
    <col min="12301" max="12542" width="9.140625" style="279"/>
    <col min="12543" max="12543" width="4" style="279" customWidth="1"/>
    <col min="12544" max="12544" width="10.5703125" style="279" customWidth="1"/>
    <col min="12545" max="12545" width="11.140625" style="279" customWidth="1"/>
    <col min="12546" max="12546" width="8.7109375" style="279" customWidth="1"/>
    <col min="12547" max="12547" width="8" style="279" customWidth="1"/>
    <col min="12548" max="12548" width="10.28515625" style="279" customWidth="1"/>
    <col min="12549" max="12549" width="7.140625" style="279" customWidth="1"/>
    <col min="12550" max="12550" width="6.85546875" style="279" customWidth="1"/>
    <col min="12551" max="12551" width="11.7109375" style="279" customWidth="1"/>
    <col min="12552" max="12552" width="11.5703125" style="279" customWidth="1"/>
    <col min="12553" max="12553" width="9.140625" style="279"/>
    <col min="12554" max="12554" width="10.5703125" style="279" bestFit="1" customWidth="1"/>
    <col min="12555" max="12555" width="9.140625" style="279"/>
    <col min="12556" max="12556" width="12.140625" style="279" customWidth="1"/>
    <col min="12557" max="12798" width="9.140625" style="279"/>
    <col min="12799" max="12799" width="4" style="279" customWidth="1"/>
    <col min="12800" max="12800" width="10.5703125" style="279" customWidth="1"/>
    <col min="12801" max="12801" width="11.140625" style="279" customWidth="1"/>
    <col min="12802" max="12802" width="8.7109375" style="279" customWidth="1"/>
    <col min="12803" max="12803" width="8" style="279" customWidth="1"/>
    <col min="12804" max="12804" width="10.28515625" style="279" customWidth="1"/>
    <col min="12805" max="12805" width="7.140625" style="279" customWidth="1"/>
    <col min="12806" max="12806" width="6.85546875" style="279" customWidth="1"/>
    <col min="12807" max="12807" width="11.7109375" style="279" customWidth="1"/>
    <col min="12808" max="12808" width="11.5703125" style="279" customWidth="1"/>
    <col min="12809" max="12809" width="9.140625" style="279"/>
    <col min="12810" max="12810" width="10.5703125" style="279" bestFit="1" customWidth="1"/>
    <col min="12811" max="12811" width="9.140625" style="279"/>
    <col min="12812" max="12812" width="12.140625" style="279" customWidth="1"/>
    <col min="12813" max="13054" width="9.140625" style="279"/>
    <col min="13055" max="13055" width="4" style="279" customWidth="1"/>
    <col min="13056" max="13056" width="10.5703125" style="279" customWidth="1"/>
    <col min="13057" max="13057" width="11.140625" style="279" customWidth="1"/>
    <col min="13058" max="13058" width="8.7109375" style="279" customWidth="1"/>
    <col min="13059" max="13059" width="8" style="279" customWidth="1"/>
    <col min="13060" max="13060" width="10.28515625" style="279" customWidth="1"/>
    <col min="13061" max="13061" width="7.140625" style="279" customWidth="1"/>
    <col min="13062" max="13062" width="6.85546875" style="279" customWidth="1"/>
    <col min="13063" max="13063" width="11.7109375" style="279" customWidth="1"/>
    <col min="13064" max="13064" width="11.5703125" style="279" customWidth="1"/>
    <col min="13065" max="13065" width="9.140625" style="279"/>
    <col min="13066" max="13066" width="10.5703125" style="279" bestFit="1" customWidth="1"/>
    <col min="13067" max="13067" width="9.140625" style="279"/>
    <col min="13068" max="13068" width="12.140625" style="279" customWidth="1"/>
    <col min="13069" max="13310" width="9.140625" style="279"/>
    <col min="13311" max="13311" width="4" style="279" customWidth="1"/>
    <col min="13312" max="13312" width="10.5703125" style="279" customWidth="1"/>
    <col min="13313" max="13313" width="11.140625" style="279" customWidth="1"/>
    <col min="13314" max="13314" width="8.7109375" style="279" customWidth="1"/>
    <col min="13315" max="13315" width="8" style="279" customWidth="1"/>
    <col min="13316" max="13316" width="10.28515625" style="279" customWidth="1"/>
    <col min="13317" max="13317" width="7.140625" style="279" customWidth="1"/>
    <col min="13318" max="13318" width="6.85546875" style="279" customWidth="1"/>
    <col min="13319" max="13319" width="11.7109375" style="279" customWidth="1"/>
    <col min="13320" max="13320" width="11.5703125" style="279" customWidth="1"/>
    <col min="13321" max="13321" width="9.140625" style="279"/>
    <col min="13322" max="13322" width="10.5703125" style="279" bestFit="1" customWidth="1"/>
    <col min="13323" max="13323" width="9.140625" style="279"/>
    <col min="13324" max="13324" width="12.140625" style="279" customWidth="1"/>
    <col min="13325" max="13566" width="9.140625" style="279"/>
    <col min="13567" max="13567" width="4" style="279" customWidth="1"/>
    <col min="13568" max="13568" width="10.5703125" style="279" customWidth="1"/>
    <col min="13569" max="13569" width="11.140625" style="279" customWidth="1"/>
    <col min="13570" max="13570" width="8.7109375" style="279" customWidth="1"/>
    <col min="13571" max="13571" width="8" style="279" customWidth="1"/>
    <col min="13572" max="13572" width="10.28515625" style="279" customWidth="1"/>
    <col min="13573" max="13573" width="7.140625" style="279" customWidth="1"/>
    <col min="13574" max="13574" width="6.85546875" style="279" customWidth="1"/>
    <col min="13575" max="13575" width="11.7109375" style="279" customWidth="1"/>
    <col min="13576" max="13576" width="11.5703125" style="279" customWidth="1"/>
    <col min="13577" max="13577" width="9.140625" style="279"/>
    <col min="13578" max="13578" width="10.5703125" style="279" bestFit="1" customWidth="1"/>
    <col min="13579" max="13579" width="9.140625" style="279"/>
    <col min="13580" max="13580" width="12.140625" style="279" customWidth="1"/>
    <col min="13581" max="13822" width="9.140625" style="279"/>
    <col min="13823" max="13823" width="4" style="279" customWidth="1"/>
    <col min="13824" max="13824" width="10.5703125" style="279" customWidth="1"/>
    <col min="13825" max="13825" width="11.140625" style="279" customWidth="1"/>
    <col min="13826" max="13826" width="8.7109375" style="279" customWidth="1"/>
    <col min="13827" max="13827" width="8" style="279" customWidth="1"/>
    <col min="13828" max="13828" width="10.28515625" style="279" customWidth="1"/>
    <col min="13829" max="13829" width="7.140625" style="279" customWidth="1"/>
    <col min="13830" max="13830" width="6.85546875" style="279" customWidth="1"/>
    <col min="13831" max="13831" width="11.7109375" style="279" customWidth="1"/>
    <col min="13832" max="13832" width="11.5703125" style="279" customWidth="1"/>
    <col min="13833" max="13833" width="9.140625" style="279"/>
    <col min="13834" max="13834" width="10.5703125" style="279" bestFit="1" customWidth="1"/>
    <col min="13835" max="13835" width="9.140625" style="279"/>
    <col min="13836" max="13836" width="12.140625" style="279" customWidth="1"/>
    <col min="13837" max="14078" width="9.140625" style="279"/>
    <col min="14079" max="14079" width="4" style="279" customWidth="1"/>
    <col min="14080" max="14080" width="10.5703125" style="279" customWidth="1"/>
    <col min="14081" max="14081" width="11.140625" style="279" customWidth="1"/>
    <col min="14082" max="14082" width="8.7109375" style="279" customWidth="1"/>
    <col min="14083" max="14083" width="8" style="279" customWidth="1"/>
    <col min="14084" max="14084" width="10.28515625" style="279" customWidth="1"/>
    <col min="14085" max="14085" width="7.140625" style="279" customWidth="1"/>
    <col min="14086" max="14086" width="6.85546875" style="279" customWidth="1"/>
    <col min="14087" max="14087" width="11.7109375" style="279" customWidth="1"/>
    <col min="14088" max="14088" width="11.5703125" style="279" customWidth="1"/>
    <col min="14089" max="14089" width="9.140625" style="279"/>
    <col min="14090" max="14090" width="10.5703125" style="279" bestFit="1" customWidth="1"/>
    <col min="14091" max="14091" width="9.140625" style="279"/>
    <col min="14092" max="14092" width="12.140625" style="279" customWidth="1"/>
    <col min="14093" max="14334" width="9.140625" style="279"/>
    <col min="14335" max="14335" width="4" style="279" customWidth="1"/>
    <col min="14336" max="14336" width="10.5703125" style="279" customWidth="1"/>
    <col min="14337" max="14337" width="11.140625" style="279" customWidth="1"/>
    <col min="14338" max="14338" width="8.7109375" style="279" customWidth="1"/>
    <col min="14339" max="14339" width="8" style="279" customWidth="1"/>
    <col min="14340" max="14340" width="10.28515625" style="279" customWidth="1"/>
    <col min="14341" max="14341" width="7.140625" style="279" customWidth="1"/>
    <col min="14342" max="14342" width="6.85546875" style="279" customWidth="1"/>
    <col min="14343" max="14343" width="11.7109375" style="279" customWidth="1"/>
    <col min="14344" max="14344" width="11.5703125" style="279" customWidth="1"/>
    <col min="14345" max="14345" width="9.140625" style="279"/>
    <col min="14346" max="14346" width="10.5703125" style="279" bestFit="1" customWidth="1"/>
    <col min="14347" max="14347" width="9.140625" style="279"/>
    <col min="14348" max="14348" width="12.140625" style="279" customWidth="1"/>
    <col min="14349" max="14590" width="9.140625" style="279"/>
    <col min="14591" max="14591" width="4" style="279" customWidth="1"/>
    <col min="14592" max="14592" width="10.5703125" style="279" customWidth="1"/>
    <col min="14593" max="14593" width="11.140625" style="279" customWidth="1"/>
    <col min="14594" max="14594" width="8.7109375" style="279" customWidth="1"/>
    <col min="14595" max="14595" width="8" style="279" customWidth="1"/>
    <col min="14596" max="14596" width="10.28515625" style="279" customWidth="1"/>
    <col min="14597" max="14597" width="7.140625" style="279" customWidth="1"/>
    <col min="14598" max="14598" width="6.85546875" style="279" customWidth="1"/>
    <col min="14599" max="14599" width="11.7109375" style="279" customWidth="1"/>
    <col min="14600" max="14600" width="11.5703125" style="279" customWidth="1"/>
    <col min="14601" max="14601" width="9.140625" style="279"/>
    <col min="14602" max="14602" width="10.5703125" style="279" bestFit="1" customWidth="1"/>
    <col min="14603" max="14603" width="9.140625" style="279"/>
    <col min="14604" max="14604" width="12.140625" style="279" customWidth="1"/>
    <col min="14605" max="14846" width="9.140625" style="279"/>
    <col min="14847" max="14847" width="4" style="279" customWidth="1"/>
    <col min="14848" max="14848" width="10.5703125" style="279" customWidth="1"/>
    <col min="14849" max="14849" width="11.140625" style="279" customWidth="1"/>
    <col min="14850" max="14850" width="8.7109375" style="279" customWidth="1"/>
    <col min="14851" max="14851" width="8" style="279" customWidth="1"/>
    <col min="14852" max="14852" width="10.28515625" style="279" customWidth="1"/>
    <col min="14853" max="14853" width="7.140625" style="279" customWidth="1"/>
    <col min="14854" max="14854" width="6.85546875" style="279" customWidth="1"/>
    <col min="14855" max="14855" width="11.7109375" style="279" customWidth="1"/>
    <col min="14856" max="14856" width="11.5703125" style="279" customWidth="1"/>
    <col min="14857" max="14857" width="9.140625" style="279"/>
    <col min="14858" max="14858" width="10.5703125" style="279" bestFit="1" customWidth="1"/>
    <col min="14859" max="14859" width="9.140625" style="279"/>
    <col min="14860" max="14860" width="12.140625" style="279" customWidth="1"/>
    <col min="14861" max="15102" width="9.140625" style="279"/>
    <col min="15103" max="15103" width="4" style="279" customWidth="1"/>
    <col min="15104" max="15104" width="10.5703125" style="279" customWidth="1"/>
    <col min="15105" max="15105" width="11.140625" style="279" customWidth="1"/>
    <col min="15106" max="15106" width="8.7109375" style="279" customWidth="1"/>
    <col min="15107" max="15107" width="8" style="279" customWidth="1"/>
    <col min="15108" max="15108" width="10.28515625" style="279" customWidth="1"/>
    <col min="15109" max="15109" width="7.140625" style="279" customWidth="1"/>
    <col min="15110" max="15110" width="6.85546875" style="279" customWidth="1"/>
    <col min="15111" max="15111" width="11.7109375" style="279" customWidth="1"/>
    <col min="15112" max="15112" width="11.5703125" style="279" customWidth="1"/>
    <col min="15113" max="15113" width="9.140625" style="279"/>
    <col min="15114" max="15114" width="10.5703125" style="279" bestFit="1" customWidth="1"/>
    <col min="15115" max="15115" width="9.140625" style="279"/>
    <col min="15116" max="15116" width="12.140625" style="279" customWidth="1"/>
    <col min="15117" max="15358" width="9.140625" style="279"/>
    <col min="15359" max="15359" width="4" style="279" customWidth="1"/>
    <col min="15360" max="15360" width="10.5703125" style="279" customWidth="1"/>
    <col min="15361" max="15361" width="11.140625" style="279" customWidth="1"/>
    <col min="15362" max="15362" width="8.7109375" style="279" customWidth="1"/>
    <col min="15363" max="15363" width="8" style="279" customWidth="1"/>
    <col min="15364" max="15364" width="10.28515625" style="279" customWidth="1"/>
    <col min="15365" max="15365" width="7.140625" style="279" customWidth="1"/>
    <col min="15366" max="15366" width="6.85546875" style="279" customWidth="1"/>
    <col min="15367" max="15367" width="11.7109375" style="279" customWidth="1"/>
    <col min="15368" max="15368" width="11.5703125" style="279" customWidth="1"/>
    <col min="15369" max="15369" width="9.140625" style="279"/>
    <col min="15370" max="15370" width="10.5703125" style="279" bestFit="1" customWidth="1"/>
    <col min="15371" max="15371" width="9.140625" style="279"/>
    <col min="15372" max="15372" width="12.140625" style="279" customWidth="1"/>
    <col min="15373" max="15614" width="9.140625" style="279"/>
    <col min="15615" max="15615" width="4" style="279" customWidth="1"/>
    <col min="15616" max="15616" width="10.5703125" style="279" customWidth="1"/>
    <col min="15617" max="15617" width="11.140625" style="279" customWidth="1"/>
    <col min="15618" max="15618" width="8.7109375" style="279" customWidth="1"/>
    <col min="15619" max="15619" width="8" style="279" customWidth="1"/>
    <col min="15620" max="15620" width="10.28515625" style="279" customWidth="1"/>
    <col min="15621" max="15621" width="7.140625" style="279" customWidth="1"/>
    <col min="15622" max="15622" width="6.85546875" style="279" customWidth="1"/>
    <col min="15623" max="15623" width="11.7109375" style="279" customWidth="1"/>
    <col min="15624" max="15624" width="11.5703125" style="279" customWidth="1"/>
    <col min="15625" max="15625" width="9.140625" style="279"/>
    <col min="15626" max="15626" width="10.5703125" style="279" bestFit="1" customWidth="1"/>
    <col min="15627" max="15627" width="9.140625" style="279"/>
    <col min="15628" max="15628" width="12.140625" style="279" customWidth="1"/>
    <col min="15629" max="15870" width="9.140625" style="279"/>
    <col min="15871" max="15871" width="4" style="279" customWidth="1"/>
    <col min="15872" max="15872" width="10.5703125" style="279" customWidth="1"/>
    <col min="15873" max="15873" width="11.140625" style="279" customWidth="1"/>
    <col min="15874" max="15874" width="8.7109375" style="279" customWidth="1"/>
    <col min="15875" max="15875" width="8" style="279" customWidth="1"/>
    <col min="15876" max="15876" width="10.28515625" style="279" customWidth="1"/>
    <col min="15877" max="15877" width="7.140625" style="279" customWidth="1"/>
    <col min="15878" max="15878" width="6.85546875" style="279" customWidth="1"/>
    <col min="15879" max="15879" width="11.7109375" style="279" customWidth="1"/>
    <col min="15880" max="15880" width="11.5703125" style="279" customWidth="1"/>
    <col min="15881" max="15881" width="9.140625" style="279"/>
    <col min="15882" max="15882" width="10.5703125" style="279" bestFit="1" customWidth="1"/>
    <col min="15883" max="15883" width="9.140625" style="279"/>
    <col min="15884" max="15884" width="12.140625" style="279" customWidth="1"/>
    <col min="15885" max="16126" width="9.140625" style="279"/>
    <col min="16127" max="16127" width="4" style="279" customWidth="1"/>
    <col min="16128" max="16128" width="10.5703125" style="279" customWidth="1"/>
    <col min="16129" max="16129" width="11.140625" style="279" customWidth="1"/>
    <col min="16130" max="16130" width="8.7109375" style="279" customWidth="1"/>
    <col min="16131" max="16131" width="8" style="279" customWidth="1"/>
    <col min="16132" max="16132" width="10.28515625" style="279" customWidth="1"/>
    <col min="16133" max="16133" width="7.140625" style="279" customWidth="1"/>
    <col min="16134" max="16134" width="6.85546875" style="279" customWidth="1"/>
    <col min="16135" max="16135" width="11.7109375" style="279" customWidth="1"/>
    <col min="16136" max="16136" width="11.5703125" style="279" customWidth="1"/>
    <col min="16137" max="16137" width="9.140625" style="279"/>
    <col min="16138" max="16138" width="10.5703125" style="279" bestFit="1" customWidth="1"/>
    <col min="16139" max="16139" width="9.140625" style="279"/>
    <col min="16140" max="16140" width="12.140625" style="279" customWidth="1"/>
    <col min="16141" max="16384" width="9.140625" style="279"/>
  </cols>
  <sheetData>
    <row r="1" spans="1:10" x14ac:dyDescent="0.25">
      <c r="A1" s="1280" t="s">
        <v>190</v>
      </c>
      <c r="B1" s="1280"/>
      <c r="C1" s="1280"/>
      <c r="D1" s="1280"/>
      <c r="E1" s="1280"/>
      <c r="F1" s="1280"/>
      <c r="G1" s="1280"/>
      <c r="H1" s="1280"/>
    </row>
    <row r="3" spans="1:10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</row>
    <row r="4" spans="1:10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</row>
    <row r="5" spans="1:10" ht="15" customHeight="1" x14ac:dyDescent="0.25">
      <c r="A5" s="200"/>
      <c r="B5" s="200"/>
      <c r="C5" s="200"/>
      <c r="D5" s="200"/>
      <c r="E5" s="200"/>
      <c r="F5" s="200"/>
      <c r="G5" s="200"/>
      <c r="H5" s="202"/>
    </row>
    <row r="6" spans="1:10" x14ac:dyDescent="0.25">
      <c r="A6" s="1201" t="s">
        <v>843</v>
      </c>
      <c r="B6" s="1201"/>
      <c r="C6" s="1201"/>
      <c r="D6" s="1201"/>
      <c r="E6" s="1201"/>
      <c r="F6" s="1201"/>
      <c r="G6" s="1201"/>
      <c r="H6" s="1201"/>
    </row>
    <row r="7" spans="1:10" x14ac:dyDescent="0.25">
      <c r="A7" s="1145" t="s">
        <v>518</v>
      </c>
      <c r="B7" s="1145"/>
      <c r="C7" s="1145"/>
      <c r="D7" s="1145"/>
      <c r="E7" s="1145"/>
      <c r="F7" s="1145"/>
      <c r="G7" s="1145"/>
      <c r="H7" s="1145"/>
    </row>
    <row r="8" spans="1:10" ht="24" customHeight="1" x14ac:dyDescent="0.25">
      <c r="A8" s="195" t="s">
        <v>258</v>
      </c>
      <c r="B8" s="733" t="s">
        <v>491</v>
      </c>
      <c r="C8" s="193" t="s">
        <v>343</v>
      </c>
      <c r="D8" s="195" t="s">
        <v>389</v>
      </c>
      <c r="E8" s="195" t="s">
        <v>445</v>
      </c>
      <c r="F8" s="733" t="s">
        <v>406</v>
      </c>
      <c r="G8" s="286" t="s">
        <v>467</v>
      </c>
      <c r="H8" s="195" t="s">
        <v>402</v>
      </c>
    </row>
    <row r="9" spans="1:10" x14ac:dyDescent="0.25">
      <c r="A9" s="196">
        <v>1</v>
      </c>
      <c r="B9" s="728">
        <v>2</v>
      </c>
      <c r="C9" s="196">
        <v>3</v>
      </c>
      <c r="D9" s="196">
        <v>4</v>
      </c>
      <c r="E9" s="196">
        <v>5</v>
      </c>
      <c r="F9" s="728">
        <v>6</v>
      </c>
      <c r="G9" s="287">
        <v>7</v>
      </c>
      <c r="H9" s="196">
        <v>8</v>
      </c>
    </row>
    <row r="10" spans="1:10" ht="48" x14ac:dyDescent="0.25">
      <c r="A10" s="196">
        <v>1</v>
      </c>
      <c r="B10" s="734" t="s">
        <v>849</v>
      </c>
      <c r="C10" s="195">
        <v>225</v>
      </c>
      <c r="D10" s="193">
        <v>770</v>
      </c>
      <c r="E10" s="259">
        <v>5</v>
      </c>
      <c r="F10" s="265">
        <f>G10/E10</f>
        <v>26950.400000000001</v>
      </c>
      <c r="G10" s="292">
        <f>SUM(G11:G17)</f>
        <v>134752</v>
      </c>
      <c r="H10" s="283">
        <f>ROUND(G10/1000,1)</f>
        <v>134.80000000000001</v>
      </c>
      <c r="J10" s="947"/>
    </row>
    <row r="11" spans="1:10" x14ac:dyDescent="0.25">
      <c r="A11" s="885" t="s">
        <v>851</v>
      </c>
      <c r="B11" s="886" t="s">
        <v>848</v>
      </c>
      <c r="C11" s="733"/>
      <c r="D11" s="731"/>
      <c r="E11" s="762"/>
      <c r="F11" s="265"/>
      <c r="G11" s="292">
        <f>39002+2938-10363-31577</f>
        <v>0</v>
      </c>
      <c r="H11" s="283"/>
      <c r="I11" s="508"/>
      <c r="J11" s="946"/>
    </row>
    <row r="12" spans="1:10" x14ac:dyDescent="0.25">
      <c r="A12" s="885" t="s">
        <v>852</v>
      </c>
      <c r="B12" s="886" t="s">
        <v>846</v>
      </c>
      <c r="C12" s="733"/>
      <c r="D12" s="731"/>
      <c r="E12" s="762"/>
      <c r="F12" s="265" t="s">
        <v>926</v>
      </c>
      <c r="G12" s="292">
        <f>43673-G25</f>
        <v>37709</v>
      </c>
      <c r="H12" s="283"/>
      <c r="J12" s="946"/>
    </row>
    <row r="13" spans="1:10" x14ac:dyDescent="0.25">
      <c r="A13" s="885" t="s">
        <v>853</v>
      </c>
      <c r="B13" s="886" t="s">
        <v>847</v>
      </c>
      <c r="C13" s="733"/>
      <c r="D13" s="731"/>
      <c r="E13" s="762"/>
      <c r="F13" s="265" t="s">
        <v>926</v>
      </c>
      <c r="G13" s="292">
        <f>60114-G26</f>
        <v>50881</v>
      </c>
      <c r="H13" s="283"/>
      <c r="J13" s="946"/>
    </row>
    <row r="14" spans="1:10" x14ac:dyDescent="0.25">
      <c r="A14" s="885" t="s">
        <v>854</v>
      </c>
      <c r="B14" s="886" t="s">
        <v>845</v>
      </c>
      <c r="C14" s="733"/>
      <c r="D14" s="731"/>
      <c r="E14" s="762"/>
      <c r="F14" s="265" t="s">
        <v>926</v>
      </c>
      <c r="G14" s="292">
        <f>6963-G27</f>
        <v>5976</v>
      </c>
      <c r="H14" s="283"/>
      <c r="I14" s="508"/>
      <c r="J14" s="946"/>
    </row>
    <row r="15" spans="1:10" x14ac:dyDescent="0.25">
      <c r="A15" s="885" t="s">
        <v>855</v>
      </c>
      <c r="B15" s="886" t="s">
        <v>844</v>
      </c>
      <c r="C15" s="733"/>
      <c r="D15" s="731"/>
      <c r="E15" s="762"/>
      <c r="F15" s="265"/>
      <c r="G15" s="292">
        <f>32241-G28</f>
        <v>27886</v>
      </c>
      <c r="H15" s="283"/>
      <c r="I15" s="508"/>
      <c r="J15" s="946"/>
    </row>
    <row r="16" spans="1:10" x14ac:dyDescent="0.25">
      <c r="A16" s="885" t="s">
        <v>881</v>
      </c>
      <c r="B16" s="886" t="s">
        <v>882</v>
      </c>
      <c r="C16" s="916"/>
      <c r="D16" s="919"/>
      <c r="E16" s="762"/>
      <c r="F16" s="265"/>
      <c r="G16" s="292">
        <f>55000-55000</f>
        <v>0</v>
      </c>
      <c r="H16" s="283"/>
      <c r="I16" s="508">
        <v>-55</v>
      </c>
      <c r="J16" s="946"/>
    </row>
    <row r="17" spans="1:12" x14ac:dyDescent="0.25">
      <c r="A17" s="885" t="s">
        <v>927</v>
      </c>
      <c r="B17" s="886" t="s">
        <v>928</v>
      </c>
      <c r="C17" s="993"/>
      <c r="D17" s="994"/>
      <c r="E17" s="762"/>
      <c r="F17" s="265"/>
      <c r="G17" s="292">
        <f>3000+1700+7800-200</f>
        <v>12300</v>
      </c>
      <c r="H17" s="283"/>
      <c r="I17" s="508">
        <v>-0.2</v>
      </c>
      <c r="J17" s="946"/>
    </row>
    <row r="18" spans="1:12" x14ac:dyDescent="0.25">
      <c r="A18" s="1223" t="s">
        <v>448</v>
      </c>
      <c r="B18" s="1223"/>
      <c r="C18" s="1223"/>
      <c r="D18" s="1223"/>
      <c r="E18" s="1223"/>
      <c r="F18" s="1223"/>
      <c r="G18" s="826">
        <f>G10</f>
        <v>134752</v>
      </c>
      <c r="H18" s="293">
        <f>H10</f>
        <v>134.80000000000001</v>
      </c>
      <c r="I18" s="1003"/>
    </row>
    <row r="20" spans="1:12" ht="15" customHeight="1" x14ac:dyDescent="0.25">
      <c r="A20" s="1205" t="s">
        <v>826</v>
      </c>
      <c r="B20" s="1205"/>
      <c r="C20" s="1205"/>
      <c r="D20" s="1205"/>
      <c r="E20" s="1205"/>
      <c r="F20" s="1205"/>
      <c r="G20" s="1205"/>
      <c r="H20" s="1205"/>
    </row>
    <row r="21" spans="1:12" ht="24" customHeight="1" x14ac:dyDescent="0.25">
      <c r="A21" s="193" t="s">
        <v>258</v>
      </c>
      <c r="B21" s="733" t="s">
        <v>491</v>
      </c>
      <c r="C21" s="193" t="s">
        <v>343</v>
      </c>
      <c r="D21" s="195" t="s">
        <v>389</v>
      </c>
      <c r="E21" s="195" t="s">
        <v>411</v>
      </c>
      <c r="F21" s="733" t="s">
        <v>406</v>
      </c>
      <c r="G21" s="286" t="s">
        <v>467</v>
      </c>
      <c r="H21" s="195" t="s">
        <v>402</v>
      </c>
    </row>
    <row r="22" spans="1:12" x14ac:dyDescent="0.25">
      <c r="A22" s="196">
        <v>1</v>
      </c>
      <c r="B22" s="728">
        <v>2</v>
      </c>
      <c r="C22" s="196">
        <v>3</v>
      </c>
      <c r="D22" s="196">
        <v>4</v>
      </c>
      <c r="E22" s="196">
        <v>5</v>
      </c>
      <c r="F22" s="728">
        <v>6</v>
      </c>
      <c r="G22" s="287">
        <v>7</v>
      </c>
      <c r="H22" s="196">
        <v>8</v>
      </c>
    </row>
    <row r="23" spans="1:12" ht="48" x14ac:dyDescent="0.25">
      <c r="A23" s="196">
        <v>1</v>
      </c>
      <c r="B23" s="734" t="s">
        <v>850</v>
      </c>
      <c r="C23" s="195">
        <v>346</v>
      </c>
      <c r="D23" s="193"/>
      <c r="E23" s="259">
        <v>5</v>
      </c>
      <c r="F23" s="265">
        <f>G23/E23</f>
        <v>9787.7999999999993</v>
      </c>
      <c r="G23" s="292">
        <f>SUM(G24:G30)</f>
        <v>48939</v>
      </c>
      <c r="H23" s="283">
        <f>ROUND(G23/1000,1)</f>
        <v>48.9</v>
      </c>
      <c r="L23" s="298"/>
    </row>
    <row r="24" spans="1:12" x14ac:dyDescent="0.25">
      <c r="A24" s="885" t="s">
        <v>851</v>
      </c>
      <c r="B24" s="886" t="s">
        <v>848</v>
      </c>
      <c r="C24" s="733"/>
      <c r="D24" s="731"/>
      <c r="E24" s="762"/>
      <c r="F24" s="265"/>
      <c r="G24" s="292">
        <f>10363-10363</f>
        <v>0</v>
      </c>
      <c r="H24" s="283"/>
      <c r="I24" s="508"/>
      <c r="J24" s="946"/>
      <c r="L24" s="298"/>
    </row>
    <row r="25" spans="1:12" x14ac:dyDescent="0.25">
      <c r="A25" s="885" t="s">
        <v>852</v>
      </c>
      <c r="B25" s="886" t="s">
        <v>846</v>
      </c>
      <c r="C25" s="733"/>
      <c r="D25" s="731"/>
      <c r="E25" s="762"/>
      <c r="F25" s="265"/>
      <c r="G25" s="292">
        <f>5964</f>
        <v>5964</v>
      </c>
      <c r="H25" s="283"/>
      <c r="J25" s="946"/>
    </row>
    <row r="26" spans="1:12" x14ac:dyDescent="0.25">
      <c r="A26" s="885" t="s">
        <v>853</v>
      </c>
      <c r="B26" s="886" t="s">
        <v>847</v>
      </c>
      <c r="C26" s="733"/>
      <c r="D26" s="731"/>
      <c r="E26" s="762"/>
      <c r="F26" s="265"/>
      <c r="G26" s="292">
        <v>9233</v>
      </c>
      <c r="H26" s="283"/>
      <c r="J26" s="946"/>
    </row>
    <row r="27" spans="1:12" x14ac:dyDescent="0.25">
      <c r="A27" s="885" t="s">
        <v>854</v>
      </c>
      <c r="B27" s="886" t="s">
        <v>845</v>
      </c>
      <c r="C27" s="733"/>
      <c r="D27" s="731"/>
      <c r="E27" s="762"/>
      <c r="F27" s="265"/>
      <c r="G27" s="292">
        <v>987</v>
      </c>
      <c r="H27" s="283"/>
      <c r="J27" s="946"/>
      <c r="L27" s="298"/>
    </row>
    <row r="28" spans="1:12" x14ac:dyDescent="0.25">
      <c r="A28" s="885" t="s">
        <v>855</v>
      </c>
      <c r="B28" s="886" t="s">
        <v>844</v>
      </c>
      <c r="C28" s="733"/>
      <c r="D28" s="731"/>
      <c r="E28" s="762"/>
      <c r="F28" s="265"/>
      <c r="G28" s="292">
        <v>4355</v>
      </c>
      <c r="H28" s="283"/>
      <c r="J28" s="946"/>
    </row>
    <row r="29" spans="1:12" x14ac:dyDescent="0.25">
      <c r="A29" s="885" t="s">
        <v>881</v>
      </c>
      <c r="B29" s="886" t="s">
        <v>882</v>
      </c>
      <c r="C29" s="916"/>
      <c r="D29" s="919"/>
      <c r="E29" s="762"/>
      <c r="F29" s="265"/>
      <c r="G29" s="292">
        <v>25000</v>
      </c>
      <c r="H29" s="283"/>
    </row>
    <row r="30" spans="1:12" x14ac:dyDescent="0.25">
      <c r="A30" s="885" t="s">
        <v>927</v>
      </c>
      <c r="B30" s="886" t="s">
        <v>928</v>
      </c>
      <c r="C30" s="993"/>
      <c r="D30" s="994"/>
      <c r="E30" s="762"/>
      <c r="F30" s="265"/>
      <c r="G30" s="292">
        <v>3400</v>
      </c>
      <c r="H30" s="283"/>
      <c r="I30" s="508"/>
    </row>
    <row r="31" spans="1:12" x14ac:dyDescent="0.25">
      <c r="A31" s="1156" t="s">
        <v>464</v>
      </c>
      <c r="B31" s="1156"/>
      <c r="C31" s="1156"/>
      <c r="D31" s="1156"/>
      <c r="E31" s="1156"/>
      <c r="F31" s="1156"/>
      <c r="G31" s="827">
        <f>G23</f>
        <v>48939</v>
      </c>
      <c r="H31" s="293">
        <f>SUM(H23:H23)</f>
        <v>48.9</v>
      </c>
      <c r="I31" s="1003"/>
    </row>
    <row r="33" spans="1:8" s="145" customFormat="1" x14ac:dyDescent="0.25"/>
    <row r="34" spans="1:8" x14ac:dyDescent="0.25">
      <c r="A34" s="1150" t="s">
        <v>397</v>
      </c>
      <c r="B34" s="1150"/>
      <c r="C34" s="168"/>
      <c r="D34" s="1151"/>
      <c r="E34" s="1151"/>
      <c r="F34" s="145"/>
      <c r="G34" s="1151" t="str">
        <f>рВДЛ!G32</f>
        <v>М.В. Златова</v>
      </c>
      <c r="H34" s="1151"/>
    </row>
    <row r="35" spans="1:8" x14ac:dyDescent="0.25">
      <c r="A35" s="1148" t="s">
        <v>329</v>
      </c>
      <c r="B35" s="1148"/>
      <c r="C35" s="169"/>
      <c r="D35" s="1148" t="s">
        <v>330</v>
      </c>
      <c r="E35" s="1148"/>
      <c r="F35" s="145"/>
      <c r="G35" s="1149" t="s">
        <v>331</v>
      </c>
      <c r="H35" s="1149"/>
    </row>
    <row r="36" spans="1:8" x14ac:dyDescent="0.25">
      <c r="A36" s="1150" t="str">
        <f>рВДЛ!A34</f>
        <v>Исполнитель: финансист</v>
      </c>
      <c r="B36" s="1150"/>
      <c r="C36" s="168"/>
      <c r="D36" s="1151"/>
      <c r="E36" s="1151"/>
      <c r="F36" s="145"/>
      <c r="G36" s="1151" t="str">
        <f>рВДЛ!G34</f>
        <v>Е.Н. Рыбалка</v>
      </c>
      <c r="H36" s="1151"/>
    </row>
    <row r="37" spans="1:8" x14ac:dyDescent="0.25">
      <c r="A37" s="1148" t="s">
        <v>329</v>
      </c>
      <c r="B37" s="1148"/>
      <c r="C37" s="169"/>
      <c r="D37" s="1148" t="s">
        <v>330</v>
      </c>
      <c r="E37" s="1148"/>
      <c r="F37" s="145"/>
      <c r="G37" s="1149" t="s">
        <v>331</v>
      </c>
      <c r="H37" s="1149"/>
    </row>
  </sheetData>
  <mergeCells count="20">
    <mergeCell ref="A37:B37"/>
    <mergeCell ref="D37:E37"/>
    <mergeCell ref="G37:H37"/>
    <mergeCell ref="A35:B35"/>
    <mergeCell ref="D35:E35"/>
    <mergeCell ref="G35:H35"/>
    <mergeCell ref="A36:B36"/>
    <mergeCell ref="D36:E36"/>
    <mergeCell ref="G36:H36"/>
    <mergeCell ref="A1:H1"/>
    <mergeCell ref="A3:H3"/>
    <mergeCell ref="A4:H4"/>
    <mergeCell ref="A34:B34"/>
    <mergeCell ref="D34:E34"/>
    <mergeCell ref="G34:H34"/>
    <mergeCell ref="A31:F31"/>
    <mergeCell ref="A20:H20"/>
    <mergeCell ref="A7:H7"/>
    <mergeCell ref="A18:F18"/>
    <mergeCell ref="A6:H6"/>
  </mergeCells>
  <pageMargins left="0.70866141732283472" right="0.70866141732283472" top="0.74803149606299213" bottom="0.74803149606299213" header="0.31496062992125984" footer="0.31496062992125984"/>
  <pageSetup paperSize="9" scale="98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7"/>
  <sheetViews>
    <sheetView showZeros="0" topLeftCell="A40" workbookViewId="0">
      <selection activeCell="A47" sqref="A47:H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193</v>
      </c>
      <c r="B12" s="1201"/>
      <c r="C12" s="1201"/>
      <c r="D12" s="1201"/>
      <c r="E12" s="1201"/>
      <c r="F12" s="1201"/>
      <c r="G12" s="1201"/>
      <c r="H12" s="1201"/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9" x14ac:dyDescent="0.25">
      <c r="A16" s="564" t="s">
        <v>640</v>
      </c>
      <c r="B16" s="848" t="s">
        <v>189</v>
      </c>
      <c r="C16" s="848" t="s">
        <v>108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22.8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 t="s">
        <v>189</v>
      </c>
      <c r="C24" s="846" t="s">
        <v>108</v>
      </c>
      <c r="D24" s="846" t="s">
        <v>196</v>
      </c>
      <c r="E24" s="846" t="s">
        <v>126</v>
      </c>
      <c r="F24" s="558">
        <v>220</v>
      </c>
      <c r="G24" s="558"/>
      <c r="H24" s="847">
        <f>H25+H26+H28+H32+H36</f>
        <v>22.8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 t="s">
        <v>189</v>
      </c>
      <c r="C36" s="848" t="s">
        <v>108</v>
      </c>
      <c r="D36" s="848" t="s">
        <v>196</v>
      </c>
      <c r="E36" s="848" t="s">
        <v>416</v>
      </c>
      <c r="F36" s="559" t="s">
        <v>350</v>
      </c>
      <c r="G36" s="559"/>
      <c r="H36" s="850">
        <f>SUM(H37:H43)</f>
        <v>22.8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9" x14ac:dyDescent="0.25">
      <c r="A38" s="567" t="s">
        <v>361</v>
      </c>
      <c r="B38" s="852" t="s">
        <v>189</v>
      </c>
      <c r="C38" s="852" t="s">
        <v>108</v>
      </c>
      <c r="D38" s="852" t="s">
        <v>196</v>
      </c>
      <c r="E38" s="428" t="s">
        <v>416</v>
      </c>
      <c r="F38" s="560">
        <v>226</v>
      </c>
      <c r="G38" s="560" t="s">
        <v>362</v>
      </c>
      <c r="H38" s="281">
        <f>рКомХоз!H11</f>
        <v>22.8</v>
      </c>
      <c r="I38" s="638">
        <v>22800</v>
      </c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189</v>
      </c>
      <c r="C65" s="848" t="s">
        <v>108</v>
      </c>
      <c r="D65" s="848" t="s">
        <v>196</v>
      </c>
      <c r="E65" s="848" t="s">
        <v>126</v>
      </c>
      <c r="F65" s="563"/>
      <c r="G65" s="563"/>
      <c r="H65" s="850">
        <f>рКомХоз!H11</f>
        <v>22.8</v>
      </c>
    </row>
    <row r="66" spans="1:9" x14ac:dyDescent="0.25">
      <c r="A66" s="571" t="s">
        <v>377</v>
      </c>
      <c r="B66" s="848" t="s">
        <v>189</v>
      </c>
      <c r="C66" s="848" t="s">
        <v>108</v>
      </c>
      <c r="D66" s="848" t="s">
        <v>485</v>
      </c>
      <c r="E66" s="848" t="s">
        <v>345</v>
      </c>
      <c r="F66" s="570"/>
      <c r="G66" s="570"/>
      <c r="H66" s="850">
        <f>H59+H16</f>
        <v>22.8</v>
      </c>
      <c r="I66" s="638">
        <f>SUM(I16:I64)</f>
        <v>22800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workbookViewId="0">
      <selection activeCell="L18" sqref="L18"/>
    </sheetView>
  </sheetViews>
  <sheetFormatPr defaultRowHeight="15" x14ac:dyDescent="0.25"/>
  <cols>
    <col min="1" max="1" width="4" style="279" customWidth="1"/>
    <col min="2" max="2" width="24.42578125" style="279" customWidth="1"/>
    <col min="3" max="4" width="6.5703125" style="279" customWidth="1"/>
    <col min="5" max="5" width="9.28515625" style="279" customWidth="1"/>
    <col min="6" max="8" width="11.7109375" style="279" customWidth="1"/>
    <col min="9" max="9" width="12.5703125" style="279" customWidth="1"/>
    <col min="10" max="10" width="10.5703125" style="279" bestFit="1" customWidth="1"/>
    <col min="11" max="11" width="9.140625" style="279"/>
    <col min="12" max="12" width="12.140625" style="279" customWidth="1"/>
    <col min="13" max="254" width="9.140625" style="279"/>
    <col min="255" max="255" width="4" style="279" customWidth="1"/>
    <col min="256" max="256" width="10.5703125" style="279" customWidth="1"/>
    <col min="257" max="257" width="11.140625" style="279" customWidth="1"/>
    <col min="258" max="258" width="8.7109375" style="279" customWidth="1"/>
    <col min="259" max="259" width="8" style="279" customWidth="1"/>
    <col min="260" max="260" width="10.28515625" style="279" customWidth="1"/>
    <col min="261" max="261" width="7.140625" style="279" customWidth="1"/>
    <col min="262" max="262" width="6.85546875" style="279" customWidth="1"/>
    <col min="263" max="263" width="11.7109375" style="279" customWidth="1"/>
    <col min="264" max="264" width="11.5703125" style="279" customWidth="1"/>
    <col min="265" max="265" width="9.140625" style="279"/>
    <col min="266" max="266" width="10.5703125" style="279" bestFit="1" customWidth="1"/>
    <col min="267" max="267" width="9.140625" style="279"/>
    <col min="268" max="268" width="12.140625" style="279" customWidth="1"/>
    <col min="269" max="510" width="9.140625" style="279"/>
    <col min="511" max="511" width="4" style="279" customWidth="1"/>
    <col min="512" max="512" width="10.5703125" style="279" customWidth="1"/>
    <col min="513" max="513" width="11.140625" style="279" customWidth="1"/>
    <col min="514" max="514" width="8.7109375" style="279" customWidth="1"/>
    <col min="515" max="515" width="8" style="279" customWidth="1"/>
    <col min="516" max="516" width="10.28515625" style="279" customWidth="1"/>
    <col min="517" max="517" width="7.140625" style="279" customWidth="1"/>
    <col min="518" max="518" width="6.85546875" style="279" customWidth="1"/>
    <col min="519" max="519" width="11.7109375" style="279" customWidth="1"/>
    <col min="520" max="520" width="11.5703125" style="279" customWidth="1"/>
    <col min="521" max="521" width="9.140625" style="279"/>
    <col min="522" max="522" width="10.5703125" style="279" bestFit="1" customWidth="1"/>
    <col min="523" max="523" width="9.140625" style="279"/>
    <col min="524" max="524" width="12.140625" style="279" customWidth="1"/>
    <col min="525" max="766" width="9.140625" style="279"/>
    <col min="767" max="767" width="4" style="279" customWidth="1"/>
    <col min="768" max="768" width="10.5703125" style="279" customWidth="1"/>
    <col min="769" max="769" width="11.140625" style="279" customWidth="1"/>
    <col min="770" max="770" width="8.7109375" style="279" customWidth="1"/>
    <col min="771" max="771" width="8" style="279" customWidth="1"/>
    <col min="772" max="772" width="10.28515625" style="279" customWidth="1"/>
    <col min="773" max="773" width="7.140625" style="279" customWidth="1"/>
    <col min="774" max="774" width="6.85546875" style="279" customWidth="1"/>
    <col min="775" max="775" width="11.7109375" style="279" customWidth="1"/>
    <col min="776" max="776" width="11.5703125" style="279" customWidth="1"/>
    <col min="777" max="777" width="9.140625" style="279"/>
    <col min="778" max="778" width="10.5703125" style="279" bestFit="1" customWidth="1"/>
    <col min="779" max="779" width="9.140625" style="279"/>
    <col min="780" max="780" width="12.140625" style="279" customWidth="1"/>
    <col min="781" max="1022" width="9.140625" style="279"/>
    <col min="1023" max="1023" width="4" style="279" customWidth="1"/>
    <col min="1024" max="1024" width="10.5703125" style="279" customWidth="1"/>
    <col min="1025" max="1025" width="11.140625" style="279" customWidth="1"/>
    <col min="1026" max="1026" width="8.7109375" style="279" customWidth="1"/>
    <col min="1027" max="1027" width="8" style="279" customWidth="1"/>
    <col min="1028" max="1028" width="10.28515625" style="279" customWidth="1"/>
    <col min="1029" max="1029" width="7.140625" style="279" customWidth="1"/>
    <col min="1030" max="1030" width="6.85546875" style="279" customWidth="1"/>
    <col min="1031" max="1031" width="11.7109375" style="279" customWidth="1"/>
    <col min="1032" max="1032" width="11.5703125" style="279" customWidth="1"/>
    <col min="1033" max="1033" width="9.140625" style="279"/>
    <col min="1034" max="1034" width="10.5703125" style="279" bestFit="1" customWidth="1"/>
    <col min="1035" max="1035" width="9.140625" style="279"/>
    <col min="1036" max="1036" width="12.140625" style="279" customWidth="1"/>
    <col min="1037" max="1278" width="9.140625" style="279"/>
    <col min="1279" max="1279" width="4" style="279" customWidth="1"/>
    <col min="1280" max="1280" width="10.5703125" style="279" customWidth="1"/>
    <col min="1281" max="1281" width="11.140625" style="279" customWidth="1"/>
    <col min="1282" max="1282" width="8.7109375" style="279" customWidth="1"/>
    <col min="1283" max="1283" width="8" style="279" customWidth="1"/>
    <col min="1284" max="1284" width="10.28515625" style="279" customWidth="1"/>
    <col min="1285" max="1285" width="7.140625" style="279" customWidth="1"/>
    <col min="1286" max="1286" width="6.85546875" style="279" customWidth="1"/>
    <col min="1287" max="1287" width="11.7109375" style="279" customWidth="1"/>
    <col min="1288" max="1288" width="11.5703125" style="279" customWidth="1"/>
    <col min="1289" max="1289" width="9.140625" style="279"/>
    <col min="1290" max="1290" width="10.5703125" style="279" bestFit="1" customWidth="1"/>
    <col min="1291" max="1291" width="9.140625" style="279"/>
    <col min="1292" max="1292" width="12.140625" style="279" customWidth="1"/>
    <col min="1293" max="1534" width="9.140625" style="279"/>
    <col min="1535" max="1535" width="4" style="279" customWidth="1"/>
    <col min="1536" max="1536" width="10.5703125" style="279" customWidth="1"/>
    <col min="1537" max="1537" width="11.140625" style="279" customWidth="1"/>
    <col min="1538" max="1538" width="8.7109375" style="279" customWidth="1"/>
    <col min="1539" max="1539" width="8" style="279" customWidth="1"/>
    <col min="1540" max="1540" width="10.28515625" style="279" customWidth="1"/>
    <col min="1541" max="1541" width="7.140625" style="279" customWidth="1"/>
    <col min="1542" max="1542" width="6.85546875" style="279" customWidth="1"/>
    <col min="1543" max="1543" width="11.7109375" style="279" customWidth="1"/>
    <col min="1544" max="1544" width="11.5703125" style="279" customWidth="1"/>
    <col min="1545" max="1545" width="9.140625" style="279"/>
    <col min="1546" max="1546" width="10.5703125" style="279" bestFit="1" customWidth="1"/>
    <col min="1547" max="1547" width="9.140625" style="279"/>
    <col min="1548" max="1548" width="12.140625" style="279" customWidth="1"/>
    <col min="1549" max="1790" width="9.140625" style="279"/>
    <col min="1791" max="1791" width="4" style="279" customWidth="1"/>
    <col min="1792" max="1792" width="10.5703125" style="279" customWidth="1"/>
    <col min="1793" max="1793" width="11.140625" style="279" customWidth="1"/>
    <col min="1794" max="1794" width="8.7109375" style="279" customWidth="1"/>
    <col min="1795" max="1795" width="8" style="279" customWidth="1"/>
    <col min="1796" max="1796" width="10.28515625" style="279" customWidth="1"/>
    <col min="1797" max="1797" width="7.140625" style="279" customWidth="1"/>
    <col min="1798" max="1798" width="6.85546875" style="279" customWidth="1"/>
    <col min="1799" max="1799" width="11.7109375" style="279" customWidth="1"/>
    <col min="1800" max="1800" width="11.5703125" style="279" customWidth="1"/>
    <col min="1801" max="1801" width="9.140625" style="279"/>
    <col min="1802" max="1802" width="10.5703125" style="279" bestFit="1" customWidth="1"/>
    <col min="1803" max="1803" width="9.140625" style="279"/>
    <col min="1804" max="1804" width="12.140625" style="279" customWidth="1"/>
    <col min="1805" max="2046" width="9.140625" style="279"/>
    <col min="2047" max="2047" width="4" style="279" customWidth="1"/>
    <col min="2048" max="2048" width="10.5703125" style="279" customWidth="1"/>
    <col min="2049" max="2049" width="11.140625" style="279" customWidth="1"/>
    <col min="2050" max="2050" width="8.7109375" style="279" customWidth="1"/>
    <col min="2051" max="2051" width="8" style="279" customWidth="1"/>
    <col min="2052" max="2052" width="10.28515625" style="279" customWidth="1"/>
    <col min="2053" max="2053" width="7.140625" style="279" customWidth="1"/>
    <col min="2054" max="2054" width="6.85546875" style="279" customWidth="1"/>
    <col min="2055" max="2055" width="11.7109375" style="279" customWidth="1"/>
    <col min="2056" max="2056" width="11.5703125" style="279" customWidth="1"/>
    <col min="2057" max="2057" width="9.140625" style="279"/>
    <col min="2058" max="2058" width="10.5703125" style="279" bestFit="1" customWidth="1"/>
    <col min="2059" max="2059" width="9.140625" style="279"/>
    <col min="2060" max="2060" width="12.140625" style="279" customWidth="1"/>
    <col min="2061" max="2302" width="9.140625" style="279"/>
    <col min="2303" max="2303" width="4" style="279" customWidth="1"/>
    <col min="2304" max="2304" width="10.5703125" style="279" customWidth="1"/>
    <col min="2305" max="2305" width="11.140625" style="279" customWidth="1"/>
    <col min="2306" max="2306" width="8.7109375" style="279" customWidth="1"/>
    <col min="2307" max="2307" width="8" style="279" customWidth="1"/>
    <col min="2308" max="2308" width="10.28515625" style="279" customWidth="1"/>
    <col min="2309" max="2309" width="7.140625" style="279" customWidth="1"/>
    <col min="2310" max="2310" width="6.85546875" style="279" customWidth="1"/>
    <col min="2311" max="2311" width="11.7109375" style="279" customWidth="1"/>
    <col min="2312" max="2312" width="11.5703125" style="279" customWidth="1"/>
    <col min="2313" max="2313" width="9.140625" style="279"/>
    <col min="2314" max="2314" width="10.5703125" style="279" bestFit="1" customWidth="1"/>
    <col min="2315" max="2315" width="9.140625" style="279"/>
    <col min="2316" max="2316" width="12.140625" style="279" customWidth="1"/>
    <col min="2317" max="2558" width="9.140625" style="279"/>
    <col min="2559" max="2559" width="4" style="279" customWidth="1"/>
    <col min="2560" max="2560" width="10.5703125" style="279" customWidth="1"/>
    <col min="2561" max="2561" width="11.140625" style="279" customWidth="1"/>
    <col min="2562" max="2562" width="8.7109375" style="279" customWidth="1"/>
    <col min="2563" max="2563" width="8" style="279" customWidth="1"/>
    <col min="2564" max="2564" width="10.28515625" style="279" customWidth="1"/>
    <col min="2565" max="2565" width="7.140625" style="279" customWidth="1"/>
    <col min="2566" max="2566" width="6.85546875" style="279" customWidth="1"/>
    <col min="2567" max="2567" width="11.7109375" style="279" customWidth="1"/>
    <col min="2568" max="2568" width="11.5703125" style="279" customWidth="1"/>
    <col min="2569" max="2569" width="9.140625" style="279"/>
    <col min="2570" max="2570" width="10.5703125" style="279" bestFit="1" customWidth="1"/>
    <col min="2571" max="2571" width="9.140625" style="279"/>
    <col min="2572" max="2572" width="12.140625" style="279" customWidth="1"/>
    <col min="2573" max="2814" width="9.140625" style="279"/>
    <col min="2815" max="2815" width="4" style="279" customWidth="1"/>
    <col min="2816" max="2816" width="10.5703125" style="279" customWidth="1"/>
    <col min="2817" max="2817" width="11.140625" style="279" customWidth="1"/>
    <col min="2818" max="2818" width="8.7109375" style="279" customWidth="1"/>
    <col min="2819" max="2819" width="8" style="279" customWidth="1"/>
    <col min="2820" max="2820" width="10.28515625" style="279" customWidth="1"/>
    <col min="2821" max="2821" width="7.140625" style="279" customWidth="1"/>
    <col min="2822" max="2822" width="6.85546875" style="279" customWidth="1"/>
    <col min="2823" max="2823" width="11.7109375" style="279" customWidth="1"/>
    <col min="2824" max="2824" width="11.5703125" style="279" customWidth="1"/>
    <col min="2825" max="2825" width="9.140625" style="279"/>
    <col min="2826" max="2826" width="10.5703125" style="279" bestFit="1" customWidth="1"/>
    <col min="2827" max="2827" width="9.140625" style="279"/>
    <col min="2828" max="2828" width="12.140625" style="279" customWidth="1"/>
    <col min="2829" max="3070" width="9.140625" style="279"/>
    <col min="3071" max="3071" width="4" style="279" customWidth="1"/>
    <col min="3072" max="3072" width="10.5703125" style="279" customWidth="1"/>
    <col min="3073" max="3073" width="11.140625" style="279" customWidth="1"/>
    <col min="3074" max="3074" width="8.7109375" style="279" customWidth="1"/>
    <col min="3075" max="3075" width="8" style="279" customWidth="1"/>
    <col min="3076" max="3076" width="10.28515625" style="279" customWidth="1"/>
    <col min="3077" max="3077" width="7.140625" style="279" customWidth="1"/>
    <col min="3078" max="3078" width="6.85546875" style="279" customWidth="1"/>
    <col min="3079" max="3079" width="11.7109375" style="279" customWidth="1"/>
    <col min="3080" max="3080" width="11.5703125" style="279" customWidth="1"/>
    <col min="3081" max="3081" width="9.140625" style="279"/>
    <col min="3082" max="3082" width="10.5703125" style="279" bestFit="1" customWidth="1"/>
    <col min="3083" max="3083" width="9.140625" style="279"/>
    <col min="3084" max="3084" width="12.140625" style="279" customWidth="1"/>
    <col min="3085" max="3326" width="9.140625" style="279"/>
    <col min="3327" max="3327" width="4" style="279" customWidth="1"/>
    <col min="3328" max="3328" width="10.5703125" style="279" customWidth="1"/>
    <col min="3329" max="3329" width="11.140625" style="279" customWidth="1"/>
    <col min="3330" max="3330" width="8.7109375" style="279" customWidth="1"/>
    <col min="3331" max="3331" width="8" style="279" customWidth="1"/>
    <col min="3332" max="3332" width="10.28515625" style="279" customWidth="1"/>
    <col min="3333" max="3333" width="7.140625" style="279" customWidth="1"/>
    <col min="3334" max="3334" width="6.85546875" style="279" customWidth="1"/>
    <col min="3335" max="3335" width="11.7109375" style="279" customWidth="1"/>
    <col min="3336" max="3336" width="11.5703125" style="279" customWidth="1"/>
    <col min="3337" max="3337" width="9.140625" style="279"/>
    <col min="3338" max="3338" width="10.5703125" style="279" bestFit="1" customWidth="1"/>
    <col min="3339" max="3339" width="9.140625" style="279"/>
    <col min="3340" max="3340" width="12.140625" style="279" customWidth="1"/>
    <col min="3341" max="3582" width="9.140625" style="279"/>
    <col min="3583" max="3583" width="4" style="279" customWidth="1"/>
    <col min="3584" max="3584" width="10.5703125" style="279" customWidth="1"/>
    <col min="3585" max="3585" width="11.140625" style="279" customWidth="1"/>
    <col min="3586" max="3586" width="8.7109375" style="279" customWidth="1"/>
    <col min="3587" max="3587" width="8" style="279" customWidth="1"/>
    <col min="3588" max="3588" width="10.28515625" style="279" customWidth="1"/>
    <col min="3589" max="3589" width="7.140625" style="279" customWidth="1"/>
    <col min="3590" max="3590" width="6.85546875" style="279" customWidth="1"/>
    <col min="3591" max="3591" width="11.7109375" style="279" customWidth="1"/>
    <col min="3592" max="3592" width="11.5703125" style="279" customWidth="1"/>
    <col min="3593" max="3593" width="9.140625" style="279"/>
    <col min="3594" max="3594" width="10.5703125" style="279" bestFit="1" customWidth="1"/>
    <col min="3595" max="3595" width="9.140625" style="279"/>
    <col min="3596" max="3596" width="12.140625" style="279" customWidth="1"/>
    <col min="3597" max="3838" width="9.140625" style="279"/>
    <col min="3839" max="3839" width="4" style="279" customWidth="1"/>
    <col min="3840" max="3840" width="10.5703125" style="279" customWidth="1"/>
    <col min="3841" max="3841" width="11.140625" style="279" customWidth="1"/>
    <col min="3842" max="3842" width="8.7109375" style="279" customWidth="1"/>
    <col min="3843" max="3843" width="8" style="279" customWidth="1"/>
    <col min="3844" max="3844" width="10.28515625" style="279" customWidth="1"/>
    <col min="3845" max="3845" width="7.140625" style="279" customWidth="1"/>
    <col min="3846" max="3846" width="6.85546875" style="279" customWidth="1"/>
    <col min="3847" max="3847" width="11.7109375" style="279" customWidth="1"/>
    <col min="3848" max="3848" width="11.5703125" style="279" customWidth="1"/>
    <col min="3849" max="3849" width="9.140625" style="279"/>
    <col min="3850" max="3850" width="10.5703125" style="279" bestFit="1" customWidth="1"/>
    <col min="3851" max="3851" width="9.140625" style="279"/>
    <col min="3852" max="3852" width="12.140625" style="279" customWidth="1"/>
    <col min="3853" max="4094" width="9.140625" style="279"/>
    <col min="4095" max="4095" width="4" style="279" customWidth="1"/>
    <col min="4096" max="4096" width="10.5703125" style="279" customWidth="1"/>
    <col min="4097" max="4097" width="11.140625" style="279" customWidth="1"/>
    <col min="4098" max="4098" width="8.7109375" style="279" customWidth="1"/>
    <col min="4099" max="4099" width="8" style="279" customWidth="1"/>
    <col min="4100" max="4100" width="10.28515625" style="279" customWidth="1"/>
    <col min="4101" max="4101" width="7.140625" style="279" customWidth="1"/>
    <col min="4102" max="4102" width="6.85546875" style="279" customWidth="1"/>
    <col min="4103" max="4103" width="11.7109375" style="279" customWidth="1"/>
    <col min="4104" max="4104" width="11.5703125" style="279" customWidth="1"/>
    <col min="4105" max="4105" width="9.140625" style="279"/>
    <col min="4106" max="4106" width="10.5703125" style="279" bestFit="1" customWidth="1"/>
    <col min="4107" max="4107" width="9.140625" style="279"/>
    <col min="4108" max="4108" width="12.140625" style="279" customWidth="1"/>
    <col min="4109" max="4350" width="9.140625" style="279"/>
    <col min="4351" max="4351" width="4" style="279" customWidth="1"/>
    <col min="4352" max="4352" width="10.5703125" style="279" customWidth="1"/>
    <col min="4353" max="4353" width="11.140625" style="279" customWidth="1"/>
    <col min="4354" max="4354" width="8.7109375" style="279" customWidth="1"/>
    <col min="4355" max="4355" width="8" style="279" customWidth="1"/>
    <col min="4356" max="4356" width="10.28515625" style="279" customWidth="1"/>
    <col min="4357" max="4357" width="7.140625" style="279" customWidth="1"/>
    <col min="4358" max="4358" width="6.85546875" style="279" customWidth="1"/>
    <col min="4359" max="4359" width="11.7109375" style="279" customWidth="1"/>
    <col min="4360" max="4360" width="11.5703125" style="279" customWidth="1"/>
    <col min="4361" max="4361" width="9.140625" style="279"/>
    <col min="4362" max="4362" width="10.5703125" style="279" bestFit="1" customWidth="1"/>
    <col min="4363" max="4363" width="9.140625" style="279"/>
    <col min="4364" max="4364" width="12.140625" style="279" customWidth="1"/>
    <col min="4365" max="4606" width="9.140625" style="279"/>
    <col min="4607" max="4607" width="4" style="279" customWidth="1"/>
    <col min="4608" max="4608" width="10.5703125" style="279" customWidth="1"/>
    <col min="4609" max="4609" width="11.140625" style="279" customWidth="1"/>
    <col min="4610" max="4610" width="8.7109375" style="279" customWidth="1"/>
    <col min="4611" max="4611" width="8" style="279" customWidth="1"/>
    <col min="4612" max="4612" width="10.28515625" style="279" customWidth="1"/>
    <col min="4613" max="4613" width="7.140625" style="279" customWidth="1"/>
    <col min="4614" max="4614" width="6.85546875" style="279" customWidth="1"/>
    <col min="4615" max="4615" width="11.7109375" style="279" customWidth="1"/>
    <col min="4616" max="4616" width="11.5703125" style="279" customWidth="1"/>
    <col min="4617" max="4617" width="9.140625" style="279"/>
    <col min="4618" max="4618" width="10.5703125" style="279" bestFit="1" customWidth="1"/>
    <col min="4619" max="4619" width="9.140625" style="279"/>
    <col min="4620" max="4620" width="12.140625" style="279" customWidth="1"/>
    <col min="4621" max="4862" width="9.140625" style="279"/>
    <col min="4863" max="4863" width="4" style="279" customWidth="1"/>
    <col min="4864" max="4864" width="10.5703125" style="279" customWidth="1"/>
    <col min="4865" max="4865" width="11.140625" style="279" customWidth="1"/>
    <col min="4866" max="4866" width="8.7109375" style="279" customWidth="1"/>
    <col min="4867" max="4867" width="8" style="279" customWidth="1"/>
    <col min="4868" max="4868" width="10.28515625" style="279" customWidth="1"/>
    <col min="4869" max="4869" width="7.140625" style="279" customWidth="1"/>
    <col min="4870" max="4870" width="6.85546875" style="279" customWidth="1"/>
    <col min="4871" max="4871" width="11.7109375" style="279" customWidth="1"/>
    <col min="4872" max="4872" width="11.5703125" style="279" customWidth="1"/>
    <col min="4873" max="4873" width="9.140625" style="279"/>
    <col min="4874" max="4874" width="10.5703125" style="279" bestFit="1" customWidth="1"/>
    <col min="4875" max="4875" width="9.140625" style="279"/>
    <col min="4876" max="4876" width="12.140625" style="279" customWidth="1"/>
    <col min="4877" max="5118" width="9.140625" style="279"/>
    <col min="5119" max="5119" width="4" style="279" customWidth="1"/>
    <col min="5120" max="5120" width="10.5703125" style="279" customWidth="1"/>
    <col min="5121" max="5121" width="11.140625" style="279" customWidth="1"/>
    <col min="5122" max="5122" width="8.7109375" style="279" customWidth="1"/>
    <col min="5123" max="5123" width="8" style="279" customWidth="1"/>
    <col min="5124" max="5124" width="10.28515625" style="279" customWidth="1"/>
    <col min="5125" max="5125" width="7.140625" style="279" customWidth="1"/>
    <col min="5126" max="5126" width="6.85546875" style="279" customWidth="1"/>
    <col min="5127" max="5127" width="11.7109375" style="279" customWidth="1"/>
    <col min="5128" max="5128" width="11.5703125" style="279" customWidth="1"/>
    <col min="5129" max="5129" width="9.140625" style="279"/>
    <col min="5130" max="5130" width="10.5703125" style="279" bestFit="1" customWidth="1"/>
    <col min="5131" max="5131" width="9.140625" style="279"/>
    <col min="5132" max="5132" width="12.140625" style="279" customWidth="1"/>
    <col min="5133" max="5374" width="9.140625" style="279"/>
    <col min="5375" max="5375" width="4" style="279" customWidth="1"/>
    <col min="5376" max="5376" width="10.5703125" style="279" customWidth="1"/>
    <col min="5377" max="5377" width="11.140625" style="279" customWidth="1"/>
    <col min="5378" max="5378" width="8.7109375" style="279" customWidth="1"/>
    <col min="5379" max="5379" width="8" style="279" customWidth="1"/>
    <col min="5380" max="5380" width="10.28515625" style="279" customWidth="1"/>
    <col min="5381" max="5381" width="7.140625" style="279" customWidth="1"/>
    <col min="5382" max="5382" width="6.85546875" style="279" customWidth="1"/>
    <col min="5383" max="5383" width="11.7109375" style="279" customWidth="1"/>
    <col min="5384" max="5384" width="11.5703125" style="279" customWidth="1"/>
    <col min="5385" max="5385" width="9.140625" style="279"/>
    <col min="5386" max="5386" width="10.5703125" style="279" bestFit="1" customWidth="1"/>
    <col min="5387" max="5387" width="9.140625" style="279"/>
    <col min="5388" max="5388" width="12.140625" style="279" customWidth="1"/>
    <col min="5389" max="5630" width="9.140625" style="279"/>
    <col min="5631" max="5631" width="4" style="279" customWidth="1"/>
    <col min="5632" max="5632" width="10.5703125" style="279" customWidth="1"/>
    <col min="5633" max="5633" width="11.140625" style="279" customWidth="1"/>
    <col min="5634" max="5634" width="8.7109375" style="279" customWidth="1"/>
    <col min="5635" max="5635" width="8" style="279" customWidth="1"/>
    <col min="5636" max="5636" width="10.28515625" style="279" customWidth="1"/>
    <col min="5637" max="5637" width="7.140625" style="279" customWidth="1"/>
    <col min="5638" max="5638" width="6.85546875" style="279" customWidth="1"/>
    <col min="5639" max="5639" width="11.7109375" style="279" customWidth="1"/>
    <col min="5640" max="5640" width="11.5703125" style="279" customWidth="1"/>
    <col min="5641" max="5641" width="9.140625" style="279"/>
    <col min="5642" max="5642" width="10.5703125" style="279" bestFit="1" customWidth="1"/>
    <col min="5643" max="5643" width="9.140625" style="279"/>
    <col min="5644" max="5644" width="12.140625" style="279" customWidth="1"/>
    <col min="5645" max="5886" width="9.140625" style="279"/>
    <col min="5887" max="5887" width="4" style="279" customWidth="1"/>
    <col min="5888" max="5888" width="10.5703125" style="279" customWidth="1"/>
    <col min="5889" max="5889" width="11.140625" style="279" customWidth="1"/>
    <col min="5890" max="5890" width="8.7109375" style="279" customWidth="1"/>
    <col min="5891" max="5891" width="8" style="279" customWidth="1"/>
    <col min="5892" max="5892" width="10.28515625" style="279" customWidth="1"/>
    <col min="5893" max="5893" width="7.140625" style="279" customWidth="1"/>
    <col min="5894" max="5894" width="6.85546875" style="279" customWidth="1"/>
    <col min="5895" max="5895" width="11.7109375" style="279" customWidth="1"/>
    <col min="5896" max="5896" width="11.5703125" style="279" customWidth="1"/>
    <col min="5897" max="5897" width="9.140625" style="279"/>
    <col min="5898" max="5898" width="10.5703125" style="279" bestFit="1" customWidth="1"/>
    <col min="5899" max="5899" width="9.140625" style="279"/>
    <col min="5900" max="5900" width="12.140625" style="279" customWidth="1"/>
    <col min="5901" max="6142" width="9.140625" style="279"/>
    <col min="6143" max="6143" width="4" style="279" customWidth="1"/>
    <col min="6144" max="6144" width="10.5703125" style="279" customWidth="1"/>
    <col min="6145" max="6145" width="11.140625" style="279" customWidth="1"/>
    <col min="6146" max="6146" width="8.7109375" style="279" customWidth="1"/>
    <col min="6147" max="6147" width="8" style="279" customWidth="1"/>
    <col min="6148" max="6148" width="10.28515625" style="279" customWidth="1"/>
    <col min="6149" max="6149" width="7.140625" style="279" customWidth="1"/>
    <col min="6150" max="6150" width="6.85546875" style="279" customWidth="1"/>
    <col min="6151" max="6151" width="11.7109375" style="279" customWidth="1"/>
    <col min="6152" max="6152" width="11.5703125" style="279" customWidth="1"/>
    <col min="6153" max="6153" width="9.140625" style="279"/>
    <col min="6154" max="6154" width="10.5703125" style="279" bestFit="1" customWidth="1"/>
    <col min="6155" max="6155" width="9.140625" style="279"/>
    <col min="6156" max="6156" width="12.140625" style="279" customWidth="1"/>
    <col min="6157" max="6398" width="9.140625" style="279"/>
    <col min="6399" max="6399" width="4" style="279" customWidth="1"/>
    <col min="6400" max="6400" width="10.5703125" style="279" customWidth="1"/>
    <col min="6401" max="6401" width="11.140625" style="279" customWidth="1"/>
    <col min="6402" max="6402" width="8.7109375" style="279" customWidth="1"/>
    <col min="6403" max="6403" width="8" style="279" customWidth="1"/>
    <col min="6404" max="6404" width="10.28515625" style="279" customWidth="1"/>
    <col min="6405" max="6405" width="7.140625" style="279" customWidth="1"/>
    <col min="6406" max="6406" width="6.85546875" style="279" customWidth="1"/>
    <col min="6407" max="6407" width="11.7109375" style="279" customWidth="1"/>
    <col min="6408" max="6408" width="11.5703125" style="279" customWidth="1"/>
    <col min="6409" max="6409" width="9.140625" style="279"/>
    <col min="6410" max="6410" width="10.5703125" style="279" bestFit="1" customWidth="1"/>
    <col min="6411" max="6411" width="9.140625" style="279"/>
    <col min="6412" max="6412" width="12.140625" style="279" customWidth="1"/>
    <col min="6413" max="6654" width="9.140625" style="279"/>
    <col min="6655" max="6655" width="4" style="279" customWidth="1"/>
    <col min="6656" max="6656" width="10.5703125" style="279" customWidth="1"/>
    <col min="6657" max="6657" width="11.140625" style="279" customWidth="1"/>
    <col min="6658" max="6658" width="8.7109375" style="279" customWidth="1"/>
    <col min="6659" max="6659" width="8" style="279" customWidth="1"/>
    <col min="6660" max="6660" width="10.28515625" style="279" customWidth="1"/>
    <col min="6661" max="6661" width="7.140625" style="279" customWidth="1"/>
    <col min="6662" max="6662" width="6.85546875" style="279" customWidth="1"/>
    <col min="6663" max="6663" width="11.7109375" style="279" customWidth="1"/>
    <col min="6664" max="6664" width="11.5703125" style="279" customWidth="1"/>
    <col min="6665" max="6665" width="9.140625" style="279"/>
    <col min="6666" max="6666" width="10.5703125" style="279" bestFit="1" customWidth="1"/>
    <col min="6667" max="6667" width="9.140625" style="279"/>
    <col min="6668" max="6668" width="12.140625" style="279" customWidth="1"/>
    <col min="6669" max="6910" width="9.140625" style="279"/>
    <col min="6911" max="6911" width="4" style="279" customWidth="1"/>
    <col min="6912" max="6912" width="10.5703125" style="279" customWidth="1"/>
    <col min="6913" max="6913" width="11.140625" style="279" customWidth="1"/>
    <col min="6914" max="6914" width="8.7109375" style="279" customWidth="1"/>
    <col min="6915" max="6915" width="8" style="279" customWidth="1"/>
    <col min="6916" max="6916" width="10.28515625" style="279" customWidth="1"/>
    <col min="6917" max="6917" width="7.140625" style="279" customWidth="1"/>
    <col min="6918" max="6918" width="6.85546875" style="279" customWidth="1"/>
    <col min="6919" max="6919" width="11.7109375" style="279" customWidth="1"/>
    <col min="6920" max="6920" width="11.5703125" style="279" customWidth="1"/>
    <col min="6921" max="6921" width="9.140625" style="279"/>
    <col min="6922" max="6922" width="10.5703125" style="279" bestFit="1" customWidth="1"/>
    <col min="6923" max="6923" width="9.140625" style="279"/>
    <col min="6924" max="6924" width="12.140625" style="279" customWidth="1"/>
    <col min="6925" max="7166" width="9.140625" style="279"/>
    <col min="7167" max="7167" width="4" style="279" customWidth="1"/>
    <col min="7168" max="7168" width="10.5703125" style="279" customWidth="1"/>
    <col min="7169" max="7169" width="11.140625" style="279" customWidth="1"/>
    <col min="7170" max="7170" width="8.7109375" style="279" customWidth="1"/>
    <col min="7171" max="7171" width="8" style="279" customWidth="1"/>
    <col min="7172" max="7172" width="10.28515625" style="279" customWidth="1"/>
    <col min="7173" max="7173" width="7.140625" style="279" customWidth="1"/>
    <col min="7174" max="7174" width="6.85546875" style="279" customWidth="1"/>
    <col min="7175" max="7175" width="11.7109375" style="279" customWidth="1"/>
    <col min="7176" max="7176" width="11.5703125" style="279" customWidth="1"/>
    <col min="7177" max="7177" width="9.140625" style="279"/>
    <col min="7178" max="7178" width="10.5703125" style="279" bestFit="1" customWidth="1"/>
    <col min="7179" max="7179" width="9.140625" style="279"/>
    <col min="7180" max="7180" width="12.140625" style="279" customWidth="1"/>
    <col min="7181" max="7422" width="9.140625" style="279"/>
    <col min="7423" max="7423" width="4" style="279" customWidth="1"/>
    <col min="7424" max="7424" width="10.5703125" style="279" customWidth="1"/>
    <col min="7425" max="7425" width="11.140625" style="279" customWidth="1"/>
    <col min="7426" max="7426" width="8.7109375" style="279" customWidth="1"/>
    <col min="7427" max="7427" width="8" style="279" customWidth="1"/>
    <col min="7428" max="7428" width="10.28515625" style="279" customWidth="1"/>
    <col min="7429" max="7429" width="7.140625" style="279" customWidth="1"/>
    <col min="7430" max="7430" width="6.85546875" style="279" customWidth="1"/>
    <col min="7431" max="7431" width="11.7109375" style="279" customWidth="1"/>
    <col min="7432" max="7432" width="11.5703125" style="279" customWidth="1"/>
    <col min="7433" max="7433" width="9.140625" style="279"/>
    <col min="7434" max="7434" width="10.5703125" style="279" bestFit="1" customWidth="1"/>
    <col min="7435" max="7435" width="9.140625" style="279"/>
    <col min="7436" max="7436" width="12.140625" style="279" customWidth="1"/>
    <col min="7437" max="7678" width="9.140625" style="279"/>
    <col min="7679" max="7679" width="4" style="279" customWidth="1"/>
    <col min="7680" max="7680" width="10.5703125" style="279" customWidth="1"/>
    <col min="7681" max="7681" width="11.140625" style="279" customWidth="1"/>
    <col min="7682" max="7682" width="8.7109375" style="279" customWidth="1"/>
    <col min="7683" max="7683" width="8" style="279" customWidth="1"/>
    <col min="7684" max="7684" width="10.28515625" style="279" customWidth="1"/>
    <col min="7685" max="7685" width="7.140625" style="279" customWidth="1"/>
    <col min="7686" max="7686" width="6.85546875" style="279" customWidth="1"/>
    <col min="7687" max="7687" width="11.7109375" style="279" customWidth="1"/>
    <col min="7688" max="7688" width="11.5703125" style="279" customWidth="1"/>
    <col min="7689" max="7689" width="9.140625" style="279"/>
    <col min="7690" max="7690" width="10.5703125" style="279" bestFit="1" customWidth="1"/>
    <col min="7691" max="7691" width="9.140625" style="279"/>
    <col min="7692" max="7692" width="12.140625" style="279" customWidth="1"/>
    <col min="7693" max="7934" width="9.140625" style="279"/>
    <col min="7935" max="7935" width="4" style="279" customWidth="1"/>
    <col min="7936" max="7936" width="10.5703125" style="279" customWidth="1"/>
    <col min="7937" max="7937" width="11.140625" style="279" customWidth="1"/>
    <col min="7938" max="7938" width="8.7109375" style="279" customWidth="1"/>
    <col min="7939" max="7939" width="8" style="279" customWidth="1"/>
    <col min="7940" max="7940" width="10.28515625" style="279" customWidth="1"/>
    <col min="7941" max="7941" width="7.140625" style="279" customWidth="1"/>
    <col min="7942" max="7942" width="6.85546875" style="279" customWidth="1"/>
    <col min="7943" max="7943" width="11.7109375" style="279" customWidth="1"/>
    <col min="7944" max="7944" width="11.5703125" style="279" customWidth="1"/>
    <col min="7945" max="7945" width="9.140625" style="279"/>
    <col min="7946" max="7946" width="10.5703125" style="279" bestFit="1" customWidth="1"/>
    <col min="7947" max="7947" width="9.140625" style="279"/>
    <col min="7948" max="7948" width="12.140625" style="279" customWidth="1"/>
    <col min="7949" max="8190" width="9.140625" style="279"/>
    <col min="8191" max="8191" width="4" style="279" customWidth="1"/>
    <col min="8192" max="8192" width="10.5703125" style="279" customWidth="1"/>
    <col min="8193" max="8193" width="11.140625" style="279" customWidth="1"/>
    <col min="8194" max="8194" width="8.7109375" style="279" customWidth="1"/>
    <col min="8195" max="8195" width="8" style="279" customWidth="1"/>
    <col min="8196" max="8196" width="10.28515625" style="279" customWidth="1"/>
    <col min="8197" max="8197" width="7.140625" style="279" customWidth="1"/>
    <col min="8198" max="8198" width="6.85546875" style="279" customWidth="1"/>
    <col min="8199" max="8199" width="11.7109375" style="279" customWidth="1"/>
    <col min="8200" max="8200" width="11.5703125" style="279" customWidth="1"/>
    <col min="8201" max="8201" width="9.140625" style="279"/>
    <col min="8202" max="8202" width="10.5703125" style="279" bestFit="1" customWidth="1"/>
    <col min="8203" max="8203" width="9.140625" style="279"/>
    <col min="8204" max="8204" width="12.140625" style="279" customWidth="1"/>
    <col min="8205" max="8446" width="9.140625" style="279"/>
    <col min="8447" max="8447" width="4" style="279" customWidth="1"/>
    <col min="8448" max="8448" width="10.5703125" style="279" customWidth="1"/>
    <col min="8449" max="8449" width="11.140625" style="279" customWidth="1"/>
    <col min="8450" max="8450" width="8.7109375" style="279" customWidth="1"/>
    <col min="8451" max="8451" width="8" style="279" customWidth="1"/>
    <col min="8452" max="8452" width="10.28515625" style="279" customWidth="1"/>
    <col min="8453" max="8453" width="7.140625" style="279" customWidth="1"/>
    <col min="8454" max="8454" width="6.85546875" style="279" customWidth="1"/>
    <col min="8455" max="8455" width="11.7109375" style="279" customWidth="1"/>
    <col min="8456" max="8456" width="11.5703125" style="279" customWidth="1"/>
    <col min="8457" max="8457" width="9.140625" style="279"/>
    <col min="8458" max="8458" width="10.5703125" style="279" bestFit="1" customWidth="1"/>
    <col min="8459" max="8459" width="9.140625" style="279"/>
    <col min="8460" max="8460" width="12.140625" style="279" customWidth="1"/>
    <col min="8461" max="8702" width="9.140625" style="279"/>
    <col min="8703" max="8703" width="4" style="279" customWidth="1"/>
    <col min="8704" max="8704" width="10.5703125" style="279" customWidth="1"/>
    <col min="8705" max="8705" width="11.140625" style="279" customWidth="1"/>
    <col min="8706" max="8706" width="8.7109375" style="279" customWidth="1"/>
    <col min="8707" max="8707" width="8" style="279" customWidth="1"/>
    <col min="8708" max="8708" width="10.28515625" style="279" customWidth="1"/>
    <col min="8709" max="8709" width="7.140625" style="279" customWidth="1"/>
    <col min="8710" max="8710" width="6.85546875" style="279" customWidth="1"/>
    <col min="8711" max="8711" width="11.7109375" style="279" customWidth="1"/>
    <col min="8712" max="8712" width="11.5703125" style="279" customWidth="1"/>
    <col min="8713" max="8713" width="9.140625" style="279"/>
    <col min="8714" max="8714" width="10.5703125" style="279" bestFit="1" customWidth="1"/>
    <col min="8715" max="8715" width="9.140625" style="279"/>
    <col min="8716" max="8716" width="12.140625" style="279" customWidth="1"/>
    <col min="8717" max="8958" width="9.140625" style="279"/>
    <col min="8959" max="8959" width="4" style="279" customWidth="1"/>
    <col min="8960" max="8960" width="10.5703125" style="279" customWidth="1"/>
    <col min="8961" max="8961" width="11.140625" style="279" customWidth="1"/>
    <col min="8962" max="8962" width="8.7109375" style="279" customWidth="1"/>
    <col min="8963" max="8963" width="8" style="279" customWidth="1"/>
    <col min="8964" max="8964" width="10.28515625" style="279" customWidth="1"/>
    <col min="8965" max="8965" width="7.140625" style="279" customWidth="1"/>
    <col min="8966" max="8966" width="6.85546875" style="279" customWidth="1"/>
    <col min="8967" max="8967" width="11.7109375" style="279" customWidth="1"/>
    <col min="8968" max="8968" width="11.5703125" style="279" customWidth="1"/>
    <col min="8969" max="8969" width="9.140625" style="279"/>
    <col min="8970" max="8970" width="10.5703125" style="279" bestFit="1" customWidth="1"/>
    <col min="8971" max="8971" width="9.140625" style="279"/>
    <col min="8972" max="8972" width="12.140625" style="279" customWidth="1"/>
    <col min="8973" max="9214" width="9.140625" style="279"/>
    <col min="9215" max="9215" width="4" style="279" customWidth="1"/>
    <col min="9216" max="9216" width="10.5703125" style="279" customWidth="1"/>
    <col min="9217" max="9217" width="11.140625" style="279" customWidth="1"/>
    <col min="9218" max="9218" width="8.7109375" style="279" customWidth="1"/>
    <col min="9219" max="9219" width="8" style="279" customWidth="1"/>
    <col min="9220" max="9220" width="10.28515625" style="279" customWidth="1"/>
    <col min="9221" max="9221" width="7.140625" style="279" customWidth="1"/>
    <col min="9222" max="9222" width="6.85546875" style="279" customWidth="1"/>
    <col min="9223" max="9223" width="11.7109375" style="279" customWidth="1"/>
    <col min="9224" max="9224" width="11.5703125" style="279" customWidth="1"/>
    <col min="9225" max="9225" width="9.140625" style="279"/>
    <col min="9226" max="9226" width="10.5703125" style="279" bestFit="1" customWidth="1"/>
    <col min="9227" max="9227" width="9.140625" style="279"/>
    <col min="9228" max="9228" width="12.140625" style="279" customWidth="1"/>
    <col min="9229" max="9470" width="9.140625" style="279"/>
    <col min="9471" max="9471" width="4" style="279" customWidth="1"/>
    <col min="9472" max="9472" width="10.5703125" style="279" customWidth="1"/>
    <col min="9473" max="9473" width="11.140625" style="279" customWidth="1"/>
    <col min="9474" max="9474" width="8.7109375" style="279" customWidth="1"/>
    <col min="9475" max="9475" width="8" style="279" customWidth="1"/>
    <col min="9476" max="9476" width="10.28515625" style="279" customWidth="1"/>
    <col min="9477" max="9477" width="7.140625" style="279" customWidth="1"/>
    <col min="9478" max="9478" width="6.85546875" style="279" customWidth="1"/>
    <col min="9479" max="9479" width="11.7109375" style="279" customWidth="1"/>
    <col min="9480" max="9480" width="11.5703125" style="279" customWidth="1"/>
    <col min="9481" max="9481" width="9.140625" style="279"/>
    <col min="9482" max="9482" width="10.5703125" style="279" bestFit="1" customWidth="1"/>
    <col min="9483" max="9483" width="9.140625" style="279"/>
    <col min="9484" max="9484" width="12.140625" style="279" customWidth="1"/>
    <col min="9485" max="9726" width="9.140625" style="279"/>
    <col min="9727" max="9727" width="4" style="279" customWidth="1"/>
    <col min="9728" max="9728" width="10.5703125" style="279" customWidth="1"/>
    <col min="9729" max="9729" width="11.140625" style="279" customWidth="1"/>
    <col min="9730" max="9730" width="8.7109375" style="279" customWidth="1"/>
    <col min="9731" max="9731" width="8" style="279" customWidth="1"/>
    <col min="9732" max="9732" width="10.28515625" style="279" customWidth="1"/>
    <col min="9733" max="9733" width="7.140625" style="279" customWidth="1"/>
    <col min="9734" max="9734" width="6.85546875" style="279" customWidth="1"/>
    <col min="9735" max="9735" width="11.7109375" style="279" customWidth="1"/>
    <col min="9736" max="9736" width="11.5703125" style="279" customWidth="1"/>
    <col min="9737" max="9737" width="9.140625" style="279"/>
    <col min="9738" max="9738" width="10.5703125" style="279" bestFit="1" customWidth="1"/>
    <col min="9739" max="9739" width="9.140625" style="279"/>
    <col min="9740" max="9740" width="12.140625" style="279" customWidth="1"/>
    <col min="9741" max="9982" width="9.140625" style="279"/>
    <col min="9983" max="9983" width="4" style="279" customWidth="1"/>
    <col min="9984" max="9984" width="10.5703125" style="279" customWidth="1"/>
    <col min="9985" max="9985" width="11.140625" style="279" customWidth="1"/>
    <col min="9986" max="9986" width="8.7109375" style="279" customWidth="1"/>
    <col min="9987" max="9987" width="8" style="279" customWidth="1"/>
    <col min="9988" max="9988" width="10.28515625" style="279" customWidth="1"/>
    <col min="9989" max="9989" width="7.140625" style="279" customWidth="1"/>
    <col min="9990" max="9990" width="6.85546875" style="279" customWidth="1"/>
    <col min="9991" max="9991" width="11.7109375" style="279" customWidth="1"/>
    <col min="9992" max="9992" width="11.5703125" style="279" customWidth="1"/>
    <col min="9993" max="9993" width="9.140625" style="279"/>
    <col min="9994" max="9994" width="10.5703125" style="279" bestFit="1" customWidth="1"/>
    <col min="9995" max="9995" width="9.140625" style="279"/>
    <col min="9996" max="9996" width="12.140625" style="279" customWidth="1"/>
    <col min="9997" max="10238" width="9.140625" style="279"/>
    <col min="10239" max="10239" width="4" style="279" customWidth="1"/>
    <col min="10240" max="10240" width="10.5703125" style="279" customWidth="1"/>
    <col min="10241" max="10241" width="11.140625" style="279" customWidth="1"/>
    <col min="10242" max="10242" width="8.7109375" style="279" customWidth="1"/>
    <col min="10243" max="10243" width="8" style="279" customWidth="1"/>
    <col min="10244" max="10244" width="10.28515625" style="279" customWidth="1"/>
    <col min="10245" max="10245" width="7.140625" style="279" customWidth="1"/>
    <col min="10246" max="10246" width="6.85546875" style="279" customWidth="1"/>
    <col min="10247" max="10247" width="11.7109375" style="279" customWidth="1"/>
    <col min="10248" max="10248" width="11.5703125" style="279" customWidth="1"/>
    <col min="10249" max="10249" width="9.140625" style="279"/>
    <col min="10250" max="10250" width="10.5703125" style="279" bestFit="1" customWidth="1"/>
    <col min="10251" max="10251" width="9.140625" style="279"/>
    <col min="10252" max="10252" width="12.140625" style="279" customWidth="1"/>
    <col min="10253" max="10494" width="9.140625" style="279"/>
    <col min="10495" max="10495" width="4" style="279" customWidth="1"/>
    <col min="10496" max="10496" width="10.5703125" style="279" customWidth="1"/>
    <col min="10497" max="10497" width="11.140625" style="279" customWidth="1"/>
    <col min="10498" max="10498" width="8.7109375" style="279" customWidth="1"/>
    <col min="10499" max="10499" width="8" style="279" customWidth="1"/>
    <col min="10500" max="10500" width="10.28515625" style="279" customWidth="1"/>
    <col min="10501" max="10501" width="7.140625" style="279" customWidth="1"/>
    <col min="10502" max="10502" width="6.85546875" style="279" customWidth="1"/>
    <col min="10503" max="10503" width="11.7109375" style="279" customWidth="1"/>
    <col min="10504" max="10504" width="11.5703125" style="279" customWidth="1"/>
    <col min="10505" max="10505" width="9.140625" style="279"/>
    <col min="10506" max="10506" width="10.5703125" style="279" bestFit="1" customWidth="1"/>
    <col min="10507" max="10507" width="9.140625" style="279"/>
    <col min="10508" max="10508" width="12.140625" style="279" customWidth="1"/>
    <col min="10509" max="10750" width="9.140625" style="279"/>
    <col min="10751" max="10751" width="4" style="279" customWidth="1"/>
    <col min="10752" max="10752" width="10.5703125" style="279" customWidth="1"/>
    <col min="10753" max="10753" width="11.140625" style="279" customWidth="1"/>
    <col min="10754" max="10754" width="8.7109375" style="279" customWidth="1"/>
    <col min="10755" max="10755" width="8" style="279" customWidth="1"/>
    <col min="10756" max="10756" width="10.28515625" style="279" customWidth="1"/>
    <col min="10757" max="10757" width="7.140625" style="279" customWidth="1"/>
    <col min="10758" max="10758" width="6.85546875" style="279" customWidth="1"/>
    <col min="10759" max="10759" width="11.7109375" style="279" customWidth="1"/>
    <col min="10760" max="10760" width="11.5703125" style="279" customWidth="1"/>
    <col min="10761" max="10761" width="9.140625" style="279"/>
    <col min="10762" max="10762" width="10.5703125" style="279" bestFit="1" customWidth="1"/>
    <col min="10763" max="10763" width="9.140625" style="279"/>
    <col min="10764" max="10764" width="12.140625" style="279" customWidth="1"/>
    <col min="10765" max="11006" width="9.140625" style="279"/>
    <col min="11007" max="11007" width="4" style="279" customWidth="1"/>
    <col min="11008" max="11008" width="10.5703125" style="279" customWidth="1"/>
    <col min="11009" max="11009" width="11.140625" style="279" customWidth="1"/>
    <col min="11010" max="11010" width="8.7109375" style="279" customWidth="1"/>
    <col min="11011" max="11011" width="8" style="279" customWidth="1"/>
    <col min="11012" max="11012" width="10.28515625" style="279" customWidth="1"/>
    <col min="11013" max="11013" width="7.140625" style="279" customWidth="1"/>
    <col min="11014" max="11014" width="6.85546875" style="279" customWidth="1"/>
    <col min="11015" max="11015" width="11.7109375" style="279" customWidth="1"/>
    <col min="11016" max="11016" width="11.5703125" style="279" customWidth="1"/>
    <col min="11017" max="11017" width="9.140625" style="279"/>
    <col min="11018" max="11018" width="10.5703125" style="279" bestFit="1" customWidth="1"/>
    <col min="11019" max="11019" width="9.140625" style="279"/>
    <col min="11020" max="11020" width="12.140625" style="279" customWidth="1"/>
    <col min="11021" max="11262" width="9.140625" style="279"/>
    <col min="11263" max="11263" width="4" style="279" customWidth="1"/>
    <col min="11264" max="11264" width="10.5703125" style="279" customWidth="1"/>
    <col min="11265" max="11265" width="11.140625" style="279" customWidth="1"/>
    <col min="11266" max="11266" width="8.7109375" style="279" customWidth="1"/>
    <col min="11267" max="11267" width="8" style="279" customWidth="1"/>
    <col min="11268" max="11268" width="10.28515625" style="279" customWidth="1"/>
    <col min="11269" max="11269" width="7.140625" style="279" customWidth="1"/>
    <col min="11270" max="11270" width="6.85546875" style="279" customWidth="1"/>
    <col min="11271" max="11271" width="11.7109375" style="279" customWidth="1"/>
    <col min="11272" max="11272" width="11.5703125" style="279" customWidth="1"/>
    <col min="11273" max="11273" width="9.140625" style="279"/>
    <col min="11274" max="11274" width="10.5703125" style="279" bestFit="1" customWidth="1"/>
    <col min="11275" max="11275" width="9.140625" style="279"/>
    <col min="11276" max="11276" width="12.140625" style="279" customWidth="1"/>
    <col min="11277" max="11518" width="9.140625" style="279"/>
    <col min="11519" max="11519" width="4" style="279" customWidth="1"/>
    <col min="11520" max="11520" width="10.5703125" style="279" customWidth="1"/>
    <col min="11521" max="11521" width="11.140625" style="279" customWidth="1"/>
    <col min="11522" max="11522" width="8.7109375" style="279" customWidth="1"/>
    <col min="11523" max="11523" width="8" style="279" customWidth="1"/>
    <col min="11524" max="11524" width="10.28515625" style="279" customWidth="1"/>
    <col min="11525" max="11525" width="7.140625" style="279" customWidth="1"/>
    <col min="11526" max="11526" width="6.85546875" style="279" customWidth="1"/>
    <col min="11527" max="11527" width="11.7109375" style="279" customWidth="1"/>
    <col min="11528" max="11528" width="11.5703125" style="279" customWidth="1"/>
    <col min="11529" max="11529" width="9.140625" style="279"/>
    <col min="11530" max="11530" width="10.5703125" style="279" bestFit="1" customWidth="1"/>
    <col min="11531" max="11531" width="9.140625" style="279"/>
    <col min="11532" max="11532" width="12.140625" style="279" customWidth="1"/>
    <col min="11533" max="11774" width="9.140625" style="279"/>
    <col min="11775" max="11775" width="4" style="279" customWidth="1"/>
    <col min="11776" max="11776" width="10.5703125" style="279" customWidth="1"/>
    <col min="11777" max="11777" width="11.140625" style="279" customWidth="1"/>
    <col min="11778" max="11778" width="8.7109375" style="279" customWidth="1"/>
    <col min="11779" max="11779" width="8" style="279" customWidth="1"/>
    <col min="11780" max="11780" width="10.28515625" style="279" customWidth="1"/>
    <col min="11781" max="11781" width="7.140625" style="279" customWidth="1"/>
    <col min="11782" max="11782" width="6.85546875" style="279" customWidth="1"/>
    <col min="11783" max="11783" width="11.7109375" style="279" customWidth="1"/>
    <col min="11784" max="11784" width="11.5703125" style="279" customWidth="1"/>
    <col min="11785" max="11785" width="9.140625" style="279"/>
    <col min="11786" max="11786" width="10.5703125" style="279" bestFit="1" customWidth="1"/>
    <col min="11787" max="11787" width="9.140625" style="279"/>
    <col min="11788" max="11788" width="12.140625" style="279" customWidth="1"/>
    <col min="11789" max="12030" width="9.140625" style="279"/>
    <col min="12031" max="12031" width="4" style="279" customWidth="1"/>
    <col min="12032" max="12032" width="10.5703125" style="279" customWidth="1"/>
    <col min="12033" max="12033" width="11.140625" style="279" customWidth="1"/>
    <col min="12034" max="12034" width="8.7109375" style="279" customWidth="1"/>
    <col min="12035" max="12035" width="8" style="279" customWidth="1"/>
    <col min="12036" max="12036" width="10.28515625" style="279" customWidth="1"/>
    <col min="12037" max="12037" width="7.140625" style="279" customWidth="1"/>
    <col min="12038" max="12038" width="6.85546875" style="279" customWidth="1"/>
    <col min="12039" max="12039" width="11.7109375" style="279" customWidth="1"/>
    <col min="12040" max="12040" width="11.5703125" style="279" customWidth="1"/>
    <col min="12041" max="12041" width="9.140625" style="279"/>
    <col min="12042" max="12042" width="10.5703125" style="279" bestFit="1" customWidth="1"/>
    <col min="12043" max="12043" width="9.140625" style="279"/>
    <col min="12044" max="12044" width="12.140625" style="279" customWidth="1"/>
    <col min="12045" max="12286" width="9.140625" style="279"/>
    <col min="12287" max="12287" width="4" style="279" customWidth="1"/>
    <col min="12288" max="12288" width="10.5703125" style="279" customWidth="1"/>
    <col min="12289" max="12289" width="11.140625" style="279" customWidth="1"/>
    <col min="12290" max="12290" width="8.7109375" style="279" customWidth="1"/>
    <col min="12291" max="12291" width="8" style="279" customWidth="1"/>
    <col min="12292" max="12292" width="10.28515625" style="279" customWidth="1"/>
    <col min="12293" max="12293" width="7.140625" style="279" customWidth="1"/>
    <col min="12294" max="12294" width="6.85546875" style="279" customWidth="1"/>
    <col min="12295" max="12295" width="11.7109375" style="279" customWidth="1"/>
    <col min="12296" max="12296" width="11.5703125" style="279" customWidth="1"/>
    <col min="12297" max="12297" width="9.140625" style="279"/>
    <col min="12298" max="12298" width="10.5703125" style="279" bestFit="1" customWidth="1"/>
    <col min="12299" max="12299" width="9.140625" style="279"/>
    <col min="12300" max="12300" width="12.140625" style="279" customWidth="1"/>
    <col min="12301" max="12542" width="9.140625" style="279"/>
    <col min="12543" max="12543" width="4" style="279" customWidth="1"/>
    <col min="12544" max="12544" width="10.5703125" style="279" customWidth="1"/>
    <col min="12545" max="12545" width="11.140625" style="279" customWidth="1"/>
    <col min="12546" max="12546" width="8.7109375" style="279" customWidth="1"/>
    <col min="12547" max="12547" width="8" style="279" customWidth="1"/>
    <col min="12548" max="12548" width="10.28515625" style="279" customWidth="1"/>
    <col min="12549" max="12549" width="7.140625" style="279" customWidth="1"/>
    <col min="12550" max="12550" width="6.85546875" style="279" customWidth="1"/>
    <col min="12551" max="12551" width="11.7109375" style="279" customWidth="1"/>
    <col min="12552" max="12552" width="11.5703125" style="279" customWidth="1"/>
    <col min="12553" max="12553" width="9.140625" style="279"/>
    <col min="12554" max="12554" width="10.5703125" style="279" bestFit="1" customWidth="1"/>
    <col min="12555" max="12555" width="9.140625" style="279"/>
    <col min="12556" max="12556" width="12.140625" style="279" customWidth="1"/>
    <col min="12557" max="12798" width="9.140625" style="279"/>
    <col min="12799" max="12799" width="4" style="279" customWidth="1"/>
    <col min="12800" max="12800" width="10.5703125" style="279" customWidth="1"/>
    <col min="12801" max="12801" width="11.140625" style="279" customWidth="1"/>
    <col min="12802" max="12802" width="8.7109375" style="279" customWidth="1"/>
    <col min="12803" max="12803" width="8" style="279" customWidth="1"/>
    <col min="12804" max="12804" width="10.28515625" style="279" customWidth="1"/>
    <col min="12805" max="12805" width="7.140625" style="279" customWidth="1"/>
    <col min="12806" max="12806" width="6.85546875" style="279" customWidth="1"/>
    <col min="12807" max="12807" width="11.7109375" style="279" customWidth="1"/>
    <col min="12808" max="12808" width="11.5703125" style="279" customWidth="1"/>
    <col min="12809" max="12809" width="9.140625" style="279"/>
    <col min="12810" max="12810" width="10.5703125" style="279" bestFit="1" customWidth="1"/>
    <col min="12811" max="12811" width="9.140625" style="279"/>
    <col min="12812" max="12812" width="12.140625" style="279" customWidth="1"/>
    <col min="12813" max="13054" width="9.140625" style="279"/>
    <col min="13055" max="13055" width="4" style="279" customWidth="1"/>
    <col min="13056" max="13056" width="10.5703125" style="279" customWidth="1"/>
    <col min="13057" max="13057" width="11.140625" style="279" customWidth="1"/>
    <col min="13058" max="13058" width="8.7109375" style="279" customWidth="1"/>
    <col min="13059" max="13059" width="8" style="279" customWidth="1"/>
    <col min="13060" max="13060" width="10.28515625" style="279" customWidth="1"/>
    <col min="13061" max="13061" width="7.140625" style="279" customWidth="1"/>
    <col min="13062" max="13062" width="6.85546875" style="279" customWidth="1"/>
    <col min="13063" max="13063" width="11.7109375" style="279" customWidth="1"/>
    <col min="13064" max="13064" width="11.5703125" style="279" customWidth="1"/>
    <col min="13065" max="13065" width="9.140625" style="279"/>
    <col min="13066" max="13066" width="10.5703125" style="279" bestFit="1" customWidth="1"/>
    <col min="13067" max="13067" width="9.140625" style="279"/>
    <col min="13068" max="13068" width="12.140625" style="279" customWidth="1"/>
    <col min="13069" max="13310" width="9.140625" style="279"/>
    <col min="13311" max="13311" width="4" style="279" customWidth="1"/>
    <col min="13312" max="13312" width="10.5703125" style="279" customWidth="1"/>
    <col min="13313" max="13313" width="11.140625" style="279" customWidth="1"/>
    <col min="13314" max="13314" width="8.7109375" style="279" customWidth="1"/>
    <col min="13315" max="13315" width="8" style="279" customWidth="1"/>
    <col min="13316" max="13316" width="10.28515625" style="279" customWidth="1"/>
    <col min="13317" max="13317" width="7.140625" style="279" customWidth="1"/>
    <col min="13318" max="13318" width="6.85546875" style="279" customWidth="1"/>
    <col min="13319" max="13319" width="11.7109375" style="279" customWidth="1"/>
    <col min="13320" max="13320" width="11.5703125" style="279" customWidth="1"/>
    <col min="13321" max="13321" width="9.140625" style="279"/>
    <col min="13322" max="13322" width="10.5703125" style="279" bestFit="1" customWidth="1"/>
    <col min="13323" max="13323" width="9.140625" style="279"/>
    <col min="13324" max="13324" width="12.140625" style="279" customWidth="1"/>
    <col min="13325" max="13566" width="9.140625" style="279"/>
    <col min="13567" max="13567" width="4" style="279" customWidth="1"/>
    <col min="13568" max="13568" width="10.5703125" style="279" customWidth="1"/>
    <col min="13569" max="13569" width="11.140625" style="279" customWidth="1"/>
    <col min="13570" max="13570" width="8.7109375" style="279" customWidth="1"/>
    <col min="13571" max="13571" width="8" style="279" customWidth="1"/>
    <col min="13572" max="13572" width="10.28515625" style="279" customWidth="1"/>
    <col min="13573" max="13573" width="7.140625" style="279" customWidth="1"/>
    <col min="13574" max="13574" width="6.85546875" style="279" customWidth="1"/>
    <col min="13575" max="13575" width="11.7109375" style="279" customWidth="1"/>
    <col min="13576" max="13576" width="11.5703125" style="279" customWidth="1"/>
    <col min="13577" max="13577" width="9.140625" style="279"/>
    <col min="13578" max="13578" width="10.5703125" style="279" bestFit="1" customWidth="1"/>
    <col min="13579" max="13579" width="9.140625" style="279"/>
    <col min="13580" max="13580" width="12.140625" style="279" customWidth="1"/>
    <col min="13581" max="13822" width="9.140625" style="279"/>
    <col min="13823" max="13823" width="4" style="279" customWidth="1"/>
    <col min="13824" max="13824" width="10.5703125" style="279" customWidth="1"/>
    <col min="13825" max="13825" width="11.140625" style="279" customWidth="1"/>
    <col min="13826" max="13826" width="8.7109375" style="279" customWidth="1"/>
    <col min="13827" max="13827" width="8" style="279" customWidth="1"/>
    <col min="13828" max="13828" width="10.28515625" style="279" customWidth="1"/>
    <col min="13829" max="13829" width="7.140625" style="279" customWidth="1"/>
    <col min="13830" max="13830" width="6.85546875" style="279" customWidth="1"/>
    <col min="13831" max="13831" width="11.7109375" style="279" customWidth="1"/>
    <col min="13832" max="13832" width="11.5703125" style="279" customWidth="1"/>
    <col min="13833" max="13833" width="9.140625" style="279"/>
    <col min="13834" max="13834" width="10.5703125" style="279" bestFit="1" customWidth="1"/>
    <col min="13835" max="13835" width="9.140625" style="279"/>
    <col min="13836" max="13836" width="12.140625" style="279" customWidth="1"/>
    <col min="13837" max="14078" width="9.140625" style="279"/>
    <col min="14079" max="14079" width="4" style="279" customWidth="1"/>
    <col min="14080" max="14080" width="10.5703125" style="279" customWidth="1"/>
    <col min="14081" max="14081" width="11.140625" style="279" customWidth="1"/>
    <col min="14082" max="14082" width="8.7109375" style="279" customWidth="1"/>
    <col min="14083" max="14083" width="8" style="279" customWidth="1"/>
    <col min="14084" max="14084" width="10.28515625" style="279" customWidth="1"/>
    <col min="14085" max="14085" width="7.140625" style="279" customWidth="1"/>
    <col min="14086" max="14086" width="6.85546875" style="279" customWidth="1"/>
    <col min="14087" max="14087" width="11.7109375" style="279" customWidth="1"/>
    <col min="14088" max="14088" width="11.5703125" style="279" customWidth="1"/>
    <col min="14089" max="14089" width="9.140625" style="279"/>
    <col min="14090" max="14090" width="10.5703125" style="279" bestFit="1" customWidth="1"/>
    <col min="14091" max="14091" width="9.140625" style="279"/>
    <col min="14092" max="14092" width="12.140625" style="279" customWidth="1"/>
    <col min="14093" max="14334" width="9.140625" style="279"/>
    <col min="14335" max="14335" width="4" style="279" customWidth="1"/>
    <col min="14336" max="14336" width="10.5703125" style="279" customWidth="1"/>
    <col min="14337" max="14337" width="11.140625" style="279" customWidth="1"/>
    <col min="14338" max="14338" width="8.7109375" style="279" customWidth="1"/>
    <col min="14339" max="14339" width="8" style="279" customWidth="1"/>
    <col min="14340" max="14340" width="10.28515625" style="279" customWidth="1"/>
    <col min="14341" max="14341" width="7.140625" style="279" customWidth="1"/>
    <col min="14342" max="14342" width="6.85546875" style="279" customWidth="1"/>
    <col min="14343" max="14343" width="11.7109375" style="279" customWidth="1"/>
    <col min="14344" max="14344" width="11.5703125" style="279" customWidth="1"/>
    <col min="14345" max="14345" width="9.140625" style="279"/>
    <col min="14346" max="14346" width="10.5703125" style="279" bestFit="1" customWidth="1"/>
    <col min="14347" max="14347" width="9.140625" style="279"/>
    <col min="14348" max="14348" width="12.140625" style="279" customWidth="1"/>
    <col min="14349" max="14590" width="9.140625" style="279"/>
    <col min="14591" max="14591" width="4" style="279" customWidth="1"/>
    <col min="14592" max="14592" width="10.5703125" style="279" customWidth="1"/>
    <col min="14593" max="14593" width="11.140625" style="279" customWidth="1"/>
    <col min="14594" max="14594" width="8.7109375" style="279" customWidth="1"/>
    <col min="14595" max="14595" width="8" style="279" customWidth="1"/>
    <col min="14596" max="14596" width="10.28515625" style="279" customWidth="1"/>
    <col min="14597" max="14597" width="7.140625" style="279" customWidth="1"/>
    <col min="14598" max="14598" width="6.85546875" style="279" customWidth="1"/>
    <col min="14599" max="14599" width="11.7109375" style="279" customWidth="1"/>
    <col min="14600" max="14600" width="11.5703125" style="279" customWidth="1"/>
    <col min="14601" max="14601" width="9.140625" style="279"/>
    <col min="14602" max="14602" width="10.5703125" style="279" bestFit="1" customWidth="1"/>
    <col min="14603" max="14603" width="9.140625" style="279"/>
    <col min="14604" max="14604" width="12.140625" style="279" customWidth="1"/>
    <col min="14605" max="14846" width="9.140625" style="279"/>
    <col min="14847" max="14847" width="4" style="279" customWidth="1"/>
    <col min="14848" max="14848" width="10.5703125" style="279" customWidth="1"/>
    <col min="14849" max="14849" width="11.140625" style="279" customWidth="1"/>
    <col min="14850" max="14850" width="8.7109375" style="279" customWidth="1"/>
    <col min="14851" max="14851" width="8" style="279" customWidth="1"/>
    <col min="14852" max="14852" width="10.28515625" style="279" customWidth="1"/>
    <col min="14853" max="14853" width="7.140625" style="279" customWidth="1"/>
    <col min="14854" max="14854" width="6.85546875" style="279" customWidth="1"/>
    <col min="14855" max="14855" width="11.7109375" style="279" customWidth="1"/>
    <col min="14856" max="14856" width="11.5703125" style="279" customWidth="1"/>
    <col min="14857" max="14857" width="9.140625" style="279"/>
    <col min="14858" max="14858" width="10.5703125" style="279" bestFit="1" customWidth="1"/>
    <col min="14859" max="14859" width="9.140625" style="279"/>
    <col min="14860" max="14860" width="12.140625" style="279" customWidth="1"/>
    <col min="14861" max="15102" width="9.140625" style="279"/>
    <col min="15103" max="15103" width="4" style="279" customWidth="1"/>
    <col min="15104" max="15104" width="10.5703125" style="279" customWidth="1"/>
    <col min="15105" max="15105" width="11.140625" style="279" customWidth="1"/>
    <col min="15106" max="15106" width="8.7109375" style="279" customWidth="1"/>
    <col min="15107" max="15107" width="8" style="279" customWidth="1"/>
    <col min="15108" max="15108" width="10.28515625" style="279" customWidth="1"/>
    <col min="15109" max="15109" width="7.140625" style="279" customWidth="1"/>
    <col min="15110" max="15110" width="6.85546875" style="279" customWidth="1"/>
    <col min="15111" max="15111" width="11.7109375" style="279" customWidth="1"/>
    <col min="15112" max="15112" width="11.5703125" style="279" customWidth="1"/>
    <col min="15113" max="15113" width="9.140625" style="279"/>
    <col min="15114" max="15114" width="10.5703125" style="279" bestFit="1" customWidth="1"/>
    <col min="15115" max="15115" width="9.140625" style="279"/>
    <col min="15116" max="15116" width="12.140625" style="279" customWidth="1"/>
    <col min="15117" max="15358" width="9.140625" style="279"/>
    <col min="15359" max="15359" width="4" style="279" customWidth="1"/>
    <col min="15360" max="15360" width="10.5703125" style="279" customWidth="1"/>
    <col min="15361" max="15361" width="11.140625" style="279" customWidth="1"/>
    <col min="15362" max="15362" width="8.7109375" style="279" customWidth="1"/>
    <col min="15363" max="15363" width="8" style="279" customWidth="1"/>
    <col min="15364" max="15364" width="10.28515625" style="279" customWidth="1"/>
    <col min="15365" max="15365" width="7.140625" style="279" customWidth="1"/>
    <col min="15366" max="15366" width="6.85546875" style="279" customWidth="1"/>
    <col min="15367" max="15367" width="11.7109375" style="279" customWidth="1"/>
    <col min="15368" max="15368" width="11.5703125" style="279" customWidth="1"/>
    <col min="15369" max="15369" width="9.140625" style="279"/>
    <col min="15370" max="15370" width="10.5703125" style="279" bestFit="1" customWidth="1"/>
    <col min="15371" max="15371" width="9.140625" style="279"/>
    <col min="15372" max="15372" width="12.140625" style="279" customWidth="1"/>
    <col min="15373" max="15614" width="9.140625" style="279"/>
    <col min="15615" max="15615" width="4" style="279" customWidth="1"/>
    <col min="15616" max="15616" width="10.5703125" style="279" customWidth="1"/>
    <col min="15617" max="15617" width="11.140625" style="279" customWidth="1"/>
    <col min="15618" max="15618" width="8.7109375" style="279" customWidth="1"/>
    <col min="15619" max="15619" width="8" style="279" customWidth="1"/>
    <col min="15620" max="15620" width="10.28515625" style="279" customWidth="1"/>
    <col min="15621" max="15621" width="7.140625" style="279" customWidth="1"/>
    <col min="15622" max="15622" width="6.85546875" style="279" customWidth="1"/>
    <col min="15623" max="15623" width="11.7109375" style="279" customWidth="1"/>
    <col min="15624" max="15624" width="11.5703125" style="279" customWidth="1"/>
    <col min="15625" max="15625" width="9.140625" style="279"/>
    <col min="15626" max="15626" width="10.5703125" style="279" bestFit="1" customWidth="1"/>
    <col min="15627" max="15627" width="9.140625" style="279"/>
    <col min="15628" max="15628" width="12.140625" style="279" customWidth="1"/>
    <col min="15629" max="15870" width="9.140625" style="279"/>
    <col min="15871" max="15871" width="4" style="279" customWidth="1"/>
    <col min="15872" max="15872" width="10.5703125" style="279" customWidth="1"/>
    <col min="15873" max="15873" width="11.140625" style="279" customWidth="1"/>
    <col min="15874" max="15874" width="8.7109375" style="279" customWidth="1"/>
    <col min="15875" max="15875" width="8" style="279" customWidth="1"/>
    <col min="15876" max="15876" width="10.28515625" style="279" customWidth="1"/>
    <col min="15877" max="15877" width="7.140625" style="279" customWidth="1"/>
    <col min="15878" max="15878" width="6.85546875" style="279" customWidth="1"/>
    <col min="15879" max="15879" width="11.7109375" style="279" customWidth="1"/>
    <col min="15880" max="15880" width="11.5703125" style="279" customWidth="1"/>
    <col min="15881" max="15881" width="9.140625" style="279"/>
    <col min="15882" max="15882" width="10.5703125" style="279" bestFit="1" customWidth="1"/>
    <col min="15883" max="15883" width="9.140625" style="279"/>
    <col min="15884" max="15884" width="12.140625" style="279" customWidth="1"/>
    <col min="15885" max="16126" width="9.140625" style="279"/>
    <col min="16127" max="16127" width="4" style="279" customWidth="1"/>
    <col min="16128" max="16128" width="10.5703125" style="279" customWidth="1"/>
    <col min="16129" max="16129" width="11.140625" style="279" customWidth="1"/>
    <col min="16130" max="16130" width="8.7109375" style="279" customWidth="1"/>
    <col min="16131" max="16131" width="8" style="279" customWidth="1"/>
    <col min="16132" max="16132" width="10.28515625" style="279" customWidth="1"/>
    <col min="16133" max="16133" width="7.140625" style="279" customWidth="1"/>
    <col min="16134" max="16134" width="6.85546875" style="279" customWidth="1"/>
    <col min="16135" max="16135" width="11.7109375" style="279" customWidth="1"/>
    <col min="16136" max="16136" width="11.5703125" style="279" customWidth="1"/>
    <col min="16137" max="16137" width="9.140625" style="279"/>
    <col min="16138" max="16138" width="10.5703125" style="279" bestFit="1" customWidth="1"/>
    <col min="16139" max="16139" width="9.140625" style="279"/>
    <col min="16140" max="16140" width="12.140625" style="279" customWidth="1"/>
    <col min="16141" max="16384" width="9.140625" style="279"/>
  </cols>
  <sheetData>
    <row r="1" spans="1:8" x14ac:dyDescent="0.25">
      <c r="A1" s="1201" t="s">
        <v>193</v>
      </c>
      <c r="B1" s="1201"/>
      <c r="C1" s="1201"/>
      <c r="D1" s="1201"/>
      <c r="E1" s="1201"/>
      <c r="F1" s="1201"/>
      <c r="G1" s="1201"/>
      <c r="H1" s="1201"/>
    </row>
    <row r="3" spans="1:8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</row>
    <row r="4" spans="1:8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</row>
    <row r="5" spans="1:8" ht="15" customHeight="1" x14ac:dyDescent="0.25">
      <c r="A5" s="200"/>
      <c r="B5" s="200"/>
      <c r="C5" s="200"/>
      <c r="D5" s="200"/>
      <c r="E5" s="200"/>
      <c r="F5" s="200"/>
      <c r="G5" s="200"/>
      <c r="H5" s="202"/>
    </row>
    <row r="6" spans="1:8" ht="30" customHeight="1" x14ac:dyDescent="0.25">
      <c r="A6" s="1142" t="s">
        <v>856</v>
      </c>
      <c r="B6" s="1142"/>
      <c r="C6" s="1142"/>
      <c r="D6" s="1142"/>
      <c r="E6" s="1142"/>
      <c r="F6" s="1142"/>
      <c r="G6" s="1142"/>
      <c r="H6" s="1142"/>
    </row>
    <row r="7" spans="1:8" x14ac:dyDescent="0.25">
      <c r="A7" s="1145" t="s">
        <v>405</v>
      </c>
      <c r="B7" s="1145"/>
      <c r="C7" s="1145"/>
      <c r="D7" s="1145"/>
      <c r="E7" s="1145"/>
      <c r="F7" s="1145"/>
      <c r="G7" s="1145"/>
      <c r="H7" s="1145"/>
    </row>
    <row r="8" spans="1:8" ht="24" customHeight="1" x14ac:dyDescent="0.25">
      <c r="A8" s="195" t="s">
        <v>258</v>
      </c>
      <c r="B8" s="733" t="s">
        <v>503</v>
      </c>
      <c r="C8" s="193" t="s">
        <v>343</v>
      </c>
      <c r="D8" s="195" t="s">
        <v>389</v>
      </c>
      <c r="E8" s="195" t="s">
        <v>411</v>
      </c>
      <c r="F8" s="733" t="s">
        <v>580</v>
      </c>
      <c r="G8" s="286" t="s">
        <v>467</v>
      </c>
      <c r="H8" s="195" t="s">
        <v>402</v>
      </c>
    </row>
    <row r="9" spans="1:8" x14ac:dyDescent="0.25">
      <c r="A9" s="196">
        <v>1</v>
      </c>
      <c r="B9" s="728">
        <v>2</v>
      </c>
      <c r="C9" s="196">
        <v>3</v>
      </c>
      <c r="D9" s="196">
        <v>4</v>
      </c>
      <c r="E9" s="196">
        <v>5</v>
      </c>
      <c r="F9" s="728">
        <v>6</v>
      </c>
      <c r="G9" s="287">
        <v>7</v>
      </c>
      <c r="H9" s="196">
        <v>8</v>
      </c>
    </row>
    <row r="10" spans="1:8" ht="77.25" customHeight="1" x14ac:dyDescent="0.25">
      <c r="A10" s="196">
        <v>1</v>
      </c>
      <c r="B10" s="734" t="s">
        <v>579</v>
      </c>
      <c r="C10" s="195">
        <v>226</v>
      </c>
      <c r="D10" s="233" t="s">
        <v>362</v>
      </c>
      <c r="E10" s="259">
        <v>1</v>
      </c>
      <c r="F10" s="265">
        <v>22800</v>
      </c>
      <c r="G10" s="292">
        <f>F10*E10</f>
        <v>22800</v>
      </c>
      <c r="H10" s="283">
        <f>ROUND((F10*E10)/1000,1)</f>
        <v>22.8</v>
      </c>
    </row>
    <row r="11" spans="1:8" x14ac:dyDescent="0.25">
      <c r="A11" s="1223" t="s">
        <v>409</v>
      </c>
      <c r="B11" s="1223"/>
      <c r="C11" s="1223"/>
      <c r="D11" s="1223"/>
      <c r="E11" s="1223"/>
      <c r="F11" s="1223"/>
      <c r="G11" s="826">
        <f>SUM(G10:G10)</f>
        <v>22800</v>
      </c>
      <c r="H11" s="293">
        <f>SUM(H10:H10)</f>
        <v>22.8</v>
      </c>
    </row>
    <row r="13" spans="1:8" s="145" customFormat="1" x14ac:dyDescent="0.25"/>
    <row r="14" spans="1:8" x14ac:dyDescent="0.25">
      <c r="A14" s="1150" t="s">
        <v>397</v>
      </c>
      <c r="B14" s="1150"/>
      <c r="C14" s="168"/>
      <c r="D14" s="1151"/>
      <c r="E14" s="1151"/>
      <c r="F14" s="145"/>
      <c r="G14" s="1151" t="str">
        <f>рВДЛ!G32</f>
        <v>М.В. Златова</v>
      </c>
      <c r="H14" s="1151"/>
    </row>
    <row r="15" spans="1:8" x14ac:dyDescent="0.25">
      <c r="A15" s="1148" t="s">
        <v>329</v>
      </c>
      <c r="B15" s="1148"/>
      <c r="C15" s="169"/>
      <c r="D15" s="1148" t="s">
        <v>330</v>
      </c>
      <c r="E15" s="1148"/>
      <c r="F15" s="145"/>
      <c r="G15" s="1149" t="s">
        <v>331</v>
      </c>
      <c r="H15" s="1149"/>
    </row>
    <row r="16" spans="1:8" x14ac:dyDescent="0.25">
      <c r="A16" s="1150" t="str">
        <f>рВДЛ!A34</f>
        <v>Исполнитель: финансист</v>
      </c>
      <c r="B16" s="1150"/>
      <c r="C16" s="168"/>
      <c r="D16" s="1151"/>
      <c r="E16" s="1151"/>
      <c r="F16" s="145"/>
      <c r="G16" s="1151" t="str">
        <f>рВДЛ!G34</f>
        <v>Е.Н. Рыбалка</v>
      </c>
      <c r="H16" s="1151"/>
    </row>
    <row r="17" spans="1:8" x14ac:dyDescent="0.25">
      <c r="A17" s="1148" t="s">
        <v>329</v>
      </c>
      <c r="B17" s="1148"/>
      <c r="C17" s="169"/>
      <c r="D17" s="1148" t="s">
        <v>330</v>
      </c>
      <c r="E17" s="1148"/>
      <c r="F17" s="145"/>
      <c r="G17" s="1149" t="s">
        <v>331</v>
      </c>
      <c r="H17" s="1149"/>
    </row>
  </sheetData>
  <mergeCells count="18">
    <mergeCell ref="A11:F11"/>
    <mergeCell ref="A14:B14"/>
    <mergeCell ref="D14:E14"/>
    <mergeCell ref="G14:H14"/>
    <mergeCell ref="A17:B17"/>
    <mergeCell ref="D17:E17"/>
    <mergeCell ref="G17:H17"/>
    <mergeCell ref="A15:B15"/>
    <mergeCell ref="D15:E15"/>
    <mergeCell ref="G15:H15"/>
    <mergeCell ref="A16:B16"/>
    <mergeCell ref="D16:E16"/>
    <mergeCell ref="G16:H16"/>
    <mergeCell ref="A6:H6"/>
    <mergeCell ref="A7:H7"/>
    <mergeCell ref="A1:H1"/>
    <mergeCell ref="A3:H3"/>
    <mergeCell ref="A4:H4"/>
  </mergeCell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70"/>
  <sheetViews>
    <sheetView showZeros="0" topLeftCell="A43" workbookViewId="0">
      <selection activeCell="H69" sqref="H69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197</v>
      </c>
      <c r="B12" s="1201"/>
      <c r="C12" s="1201"/>
      <c r="D12" s="1201"/>
      <c r="E12" s="1201"/>
      <c r="F12" s="1201"/>
      <c r="G12" s="1201"/>
      <c r="H12" s="1201"/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9" x14ac:dyDescent="0.25">
      <c r="A16" s="564" t="s">
        <v>640</v>
      </c>
      <c r="B16" s="848" t="s">
        <v>189</v>
      </c>
      <c r="C16" s="848" t="s">
        <v>116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792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 t="s">
        <v>189</v>
      </c>
      <c r="C24" s="846" t="s">
        <v>116</v>
      </c>
      <c r="D24" s="846" t="s">
        <v>485</v>
      </c>
      <c r="E24" s="846" t="s">
        <v>126</v>
      </c>
      <c r="F24" s="558">
        <v>220</v>
      </c>
      <c r="G24" s="558"/>
      <c r="H24" s="847">
        <f>H25+H26+H28+H32+H36</f>
        <v>792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 t="s">
        <v>189</v>
      </c>
      <c r="C28" s="848" t="s">
        <v>116</v>
      </c>
      <c r="D28" s="848" t="s">
        <v>187</v>
      </c>
      <c r="E28" s="848" t="s">
        <v>416</v>
      </c>
      <c r="F28" s="559">
        <v>223</v>
      </c>
      <c r="G28" s="559"/>
      <c r="H28" s="850">
        <f>SUM(H29:H31)</f>
        <v>488.6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 t="s">
        <v>189</v>
      </c>
      <c r="C30" s="852" t="s">
        <v>116</v>
      </c>
      <c r="D30" s="852" t="s">
        <v>187</v>
      </c>
      <c r="E30" s="852" t="s">
        <v>416</v>
      </c>
      <c r="F30" s="560">
        <v>223</v>
      </c>
      <c r="G30" s="560">
        <v>730</v>
      </c>
      <c r="H30" s="281">
        <f>рБлагоус!J14</f>
        <v>488.6</v>
      </c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 t="s">
        <v>189</v>
      </c>
      <c r="C32" s="848" t="s">
        <v>116</v>
      </c>
      <c r="D32" s="848" t="s">
        <v>485</v>
      </c>
      <c r="E32" s="848" t="s">
        <v>416</v>
      </c>
      <c r="F32" s="559">
        <v>225</v>
      </c>
      <c r="G32" s="559"/>
      <c r="H32" s="850">
        <f>SUM(H33:H35)</f>
        <v>303.39999999999998</v>
      </c>
    </row>
    <row r="33" spans="1:10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10" ht="24" x14ac:dyDescent="0.25">
      <c r="A34" s="567" t="s">
        <v>648</v>
      </c>
      <c r="B34" s="852" t="s">
        <v>189</v>
      </c>
      <c r="C34" s="852" t="s">
        <v>116</v>
      </c>
      <c r="D34" s="852" t="s">
        <v>485</v>
      </c>
      <c r="E34" s="852" t="s">
        <v>416</v>
      </c>
      <c r="F34" s="560">
        <v>225</v>
      </c>
      <c r="G34" s="560" t="s">
        <v>358</v>
      </c>
      <c r="H34" s="281">
        <f>рБлагоус!J21+рБлагоус!J29+рБлагоус!J37+рБлагоус!J45</f>
        <v>303.39999999999998</v>
      </c>
      <c r="J34" s="638"/>
    </row>
    <row r="35" spans="1:10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10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10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10" x14ac:dyDescent="0.25">
      <c r="A38" s="567" t="s">
        <v>361</v>
      </c>
      <c r="B38" s="852"/>
      <c r="C38" s="852"/>
      <c r="D38" s="852"/>
      <c r="E38" s="428"/>
      <c r="F38" s="560">
        <v>226</v>
      </c>
      <c r="G38" s="560" t="s">
        <v>362</v>
      </c>
      <c r="H38" s="281"/>
    </row>
    <row r="39" spans="1:10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10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10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10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10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10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10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10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10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10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189</v>
      </c>
      <c r="C65" s="848" t="s">
        <v>116</v>
      </c>
      <c r="D65" s="848" t="s">
        <v>187</v>
      </c>
      <c r="E65" s="848" t="s">
        <v>126</v>
      </c>
      <c r="F65" s="563"/>
      <c r="G65" s="563"/>
      <c r="H65" s="850">
        <f>рБлагоус!J14+рБлагоус!J21</f>
        <v>720.90000000000009</v>
      </c>
    </row>
    <row r="66" spans="1:9" x14ac:dyDescent="0.25">
      <c r="A66" s="569"/>
      <c r="B66" s="848" t="s">
        <v>189</v>
      </c>
      <c r="C66" s="848" t="s">
        <v>116</v>
      </c>
      <c r="D66" s="848" t="s">
        <v>907</v>
      </c>
      <c r="E66" s="848" t="s">
        <v>126</v>
      </c>
      <c r="F66" s="563"/>
      <c r="G66" s="563"/>
      <c r="H66" s="850">
        <f>рБлагоус!J29</f>
        <v>10.5</v>
      </c>
    </row>
    <row r="67" spans="1:9" x14ac:dyDescent="0.25">
      <c r="A67" s="569"/>
      <c r="B67" s="848" t="s">
        <v>189</v>
      </c>
      <c r="C67" s="848" t="s">
        <v>116</v>
      </c>
      <c r="D67" s="848" t="s">
        <v>932</v>
      </c>
      <c r="E67" s="848"/>
      <c r="F67" s="563"/>
      <c r="G67" s="563"/>
      <c r="H67" s="850">
        <f>рБлагоус!J37</f>
        <v>31.2</v>
      </c>
    </row>
    <row r="68" spans="1:9" x14ac:dyDescent="0.25">
      <c r="A68" s="569"/>
      <c r="B68" s="848" t="s">
        <v>189</v>
      </c>
      <c r="C68" s="848" t="s">
        <v>116</v>
      </c>
      <c r="D68" s="848" t="s">
        <v>943</v>
      </c>
      <c r="E68" s="848" t="s">
        <v>126</v>
      </c>
      <c r="F68" s="563"/>
      <c r="G68" s="563"/>
      <c r="H68" s="850">
        <f>рБлагоус!J45</f>
        <v>29.4</v>
      </c>
    </row>
    <row r="69" spans="1:9" x14ac:dyDescent="0.25">
      <c r="A69" s="571" t="s">
        <v>377</v>
      </c>
      <c r="B69" s="848" t="s">
        <v>189</v>
      </c>
      <c r="C69" s="848" t="s">
        <v>116</v>
      </c>
      <c r="D69" s="848" t="s">
        <v>485</v>
      </c>
      <c r="E69" s="848" t="s">
        <v>345</v>
      </c>
      <c r="F69" s="570"/>
      <c r="G69" s="570"/>
      <c r="H69" s="850">
        <f>H59+H16</f>
        <v>792</v>
      </c>
      <c r="I69" s="638">
        <f>SUM(I16:I64)</f>
        <v>0</v>
      </c>
    </row>
    <row r="70" spans="1:9" x14ac:dyDescent="0.25">
      <c r="A70" s="862"/>
      <c r="B70" s="863"/>
      <c r="C70" s="863"/>
      <c r="D70" s="863"/>
      <c r="E70" s="863"/>
      <c r="F70" s="863"/>
      <c r="G70" s="863"/>
      <c r="H70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3"/>
  <sheetViews>
    <sheetView topLeftCell="A19" workbookViewId="0">
      <selection activeCell="L45" sqref="L45"/>
    </sheetView>
  </sheetViews>
  <sheetFormatPr defaultRowHeight="15" x14ac:dyDescent="0.25"/>
  <cols>
    <col min="1" max="1" width="4" style="279" customWidth="1"/>
    <col min="2" max="2" width="24.85546875" style="279" customWidth="1"/>
    <col min="3" max="4" width="6.5703125" style="279" customWidth="1"/>
    <col min="5" max="5" width="9.28515625" style="279" customWidth="1"/>
    <col min="6" max="6" width="11" style="279" customWidth="1"/>
    <col min="7" max="7" width="9.85546875" style="279" customWidth="1"/>
    <col min="8" max="8" width="12.7109375" style="279" customWidth="1"/>
    <col min="9" max="9" width="11.7109375" style="279" customWidth="1"/>
    <col min="10" max="10" width="11.5703125" style="279" customWidth="1"/>
    <col min="11" max="11" width="12.5703125" style="279" customWidth="1"/>
    <col min="12" max="12" width="10.5703125" style="279" bestFit="1" customWidth="1"/>
    <col min="13" max="13" width="9.140625" style="279"/>
    <col min="14" max="14" width="12.140625" style="279" customWidth="1"/>
    <col min="15" max="256" width="9.140625" style="279"/>
    <col min="257" max="257" width="4" style="279" customWidth="1"/>
    <col min="258" max="258" width="10.5703125" style="279" customWidth="1"/>
    <col min="259" max="259" width="11.140625" style="279" customWidth="1"/>
    <col min="260" max="260" width="8.7109375" style="279" customWidth="1"/>
    <col min="261" max="261" width="8" style="279" customWidth="1"/>
    <col min="262" max="262" width="10.28515625" style="279" customWidth="1"/>
    <col min="263" max="263" width="7.140625" style="279" customWidth="1"/>
    <col min="264" max="264" width="6.85546875" style="279" customWidth="1"/>
    <col min="265" max="265" width="11.7109375" style="279" customWidth="1"/>
    <col min="266" max="266" width="11.5703125" style="279" customWidth="1"/>
    <col min="267" max="267" width="9.140625" style="279"/>
    <col min="268" max="268" width="10.5703125" style="279" bestFit="1" customWidth="1"/>
    <col min="269" max="269" width="9.140625" style="279"/>
    <col min="270" max="270" width="12.140625" style="279" customWidth="1"/>
    <col min="271" max="512" width="9.140625" style="279"/>
    <col min="513" max="513" width="4" style="279" customWidth="1"/>
    <col min="514" max="514" width="10.5703125" style="279" customWidth="1"/>
    <col min="515" max="515" width="11.140625" style="279" customWidth="1"/>
    <col min="516" max="516" width="8.7109375" style="279" customWidth="1"/>
    <col min="517" max="517" width="8" style="279" customWidth="1"/>
    <col min="518" max="518" width="10.28515625" style="279" customWidth="1"/>
    <col min="519" max="519" width="7.140625" style="279" customWidth="1"/>
    <col min="520" max="520" width="6.85546875" style="279" customWidth="1"/>
    <col min="521" max="521" width="11.7109375" style="279" customWidth="1"/>
    <col min="522" max="522" width="11.5703125" style="279" customWidth="1"/>
    <col min="523" max="523" width="9.140625" style="279"/>
    <col min="524" max="524" width="10.5703125" style="279" bestFit="1" customWidth="1"/>
    <col min="525" max="525" width="9.140625" style="279"/>
    <col min="526" max="526" width="12.140625" style="279" customWidth="1"/>
    <col min="527" max="768" width="9.140625" style="279"/>
    <col min="769" max="769" width="4" style="279" customWidth="1"/>
    <col min="770" max="770" width="10.5703125" style="279" customWidth="1"/>
    <col min="771" max="771" width="11.140625" style="279" customWidth="1"/>
    <col min="772" max="772" width="8.7109375" style="279" customWidth="1"/>
    <col min="773" max="773" width="8" style="279" customWidth="1"/>
    <col min="774" max="774" width="10.28515625" style="279" customWidth="1"/>
    <col min="775" max="775" width="7.140625" style="279" customWidth="1"/>
    <col min="776" max="776" width="6.85546875" style="279" customWidth="1"/>
    <col min="777" max="777" width="11.7109375" style="279" customWidth="1"/>
    <col min="778" max="778" width="11.5703125" style="279" customWidth="1"/>
    <col min="779" max="779" width="9.140625" style="279"/>
    <col min="780" max="780" width="10.5703125" style="279" bestFit="1" customWidth="1"/>
    <col min="781" max="781" width="9.140625" style="279"/>
    <col min="782" max="782" width="12.140625" style="279" customWidth="1"/>
    <col min="783" max="1024" width="9.140625" style="279"/>
    <col min="1025" max="1025" width="4" style="279" customWidth="1"/>
    <col min="1026" max="1026" width="10.5703125" style="279" customWidth="1"/>
    <col min="1027" max="1027" width="11.140625" style="279" customWidth="1"/>
    <col min="1028" max="1028" width="8.7109375" style="279" customWidth="1"/>
    <col min="1029" max="1029" width="8" style="279" customWidth="1"/>
    <col min="1030" max="1030" width="10.28515625" style="279" customWidth="1"/>
    <col min="1031" max="1031" width="7.140625" style="279" customWidth="1"/>
    <col min="1032" max="1032" width="6.85546875" style="279" customWidth="1"/>
    <col min="1033" max="1033" width="11.7109375" style="279" customWidth="1"/>
    <col min="1034" max="1034" width="11.5703125" style="279" customWidth="1"/>
    <col min="1035" max="1035" width="9.140625" style="279"/>
    <col min="1036" max="1036" width="10.5703125" style="279" bestFit="1" customWidth="1"/>
    <col min="1037" max="1037" width="9.140625" style="279"/>
    <col min="1038" max="1038" width="12.140625" style="279" customWidth="1"/>
    <col min="1039" max="1280" width="9.140625" style="279"/>
    <col min="1281" max="1281" width="4" style="279" customWidth="1"/>
    <col min="1282" max="1282" width="10.5703125" style="279" customWidth="1"/>
    <col min="1283" max="1283" width="11.140625" style="279" customWidth="1"/>
    <col min="1284" max="1284" width="8.7109375" style="279" customWidth="1"/>
    <col min="1285" max="1285" width="8" style="279" customWidth="1"/>
    <col min="1286" max="1286" width="10.28515625" style="279" customWidth="1"/>
    <col min="1287" max="1287" width="7.140625" style="279" customWidth="1"/>
    <col min="1288" max="1288" width="6.85546875" style="279" customWidth="1"/>
    <col min="1289" max="1289" width="11.7109375" style="279" customWidth="1"/>
    <col min="1290" max="1290" width="11.5703125" style="279" customWidth="1"/>
    <col min="1291" max="1291" width="9.140625" style="279"/>
    <col min="1292" max="1292" width="10.5703125" style="279" bestFit="1" customWidth="1"/>
    <col min="1293" max="1293" width="9.140625" style="279"/>
    <col min="1294" max="1294" width="12.140625" style="279" customWidth="1"/>
    <col min="1295" max="1536" width="9.140625" style="279"/>
    <col min="1537" max="1537" width="4" style="279" customWidth="1"/>
    <col min="1538" max="1538" width="10.5703125" style="279" customWidth="1"/>
    <col min="1539" max="1539" width="11.140625" style="279" customWidth="1"/>
    <col min="1540" max="1540" width="8.7109375" style="279" customWidth="1"/>
    <col min="1541" max="1541" width="8" style="279" customWidth="1"/>
    <col min="1542" max="1542" width="10.28515625" style="279" customWidth="1"/>
    <col min="1543" max="1543" width="7.140625" style="279" customWidth="1"/>
    <col min="1544" max="1544" width="6.85546875" style="279" customWidth="1"/>
    <col min="1545" max="1545" width="11.7109375" style="279" customWidth="1"/>
    <col min="1546" max="1546" width="11.5703125" style="279" customWidth="1"/>
    <col min="1547" max="1547" width="9.140625" style="279"/>
    <col min="1548" max="1548" width="10.5703125" style="279" bestFit="1" customWidth="1"/>
    <col min="1549" max="1549" width="9.140625" style="279"/>
    <col min="1550" max="1550" width="12.140625" style="279" customWidth="1"/>
    <col min="1551" max="1792" width="9.140625" style="279"/>
    <col min="1793" max="1793" width="4" style="279" customWidth="1"/>
    <col min="1794" max="1794" width="10.5703125" style="279" customWidth="1"/>
    <col min="1795" max="1795" width="11.140625" style="279" customWidth="1"/>
    <col min="1796" max="1796" width="8.7109375" style="279" customWidth="1"/>
    <col min="1797" max="1797" width="8" style="279" customWidth="1"/>
    <col min="1798" max="1798" width="10.28515625" style="279" customWidth="1"/>
    <col min="1799" max="1799" width="7.140625" style="279" customWidth="1"/>
    <col min="1800" max="1800" width="6.85546875" style="279" customWidth="1"/>
    <col min="1801" max="1801" width="11.7109375" style="279" customWidth="1"/>
    <col min="1802" max="1802" width="11.5703125" style="279" customWidth="1"/>
    <col min="1803" max="1803" width="9.140625" style="279"/>
    <col min="1804" max="1804" width="10.5703125" style="279" bestFit="1" customWidth="1"/>
    <col min="1805" max="1805" width="9.140625" style="279"/>
    <col min="1806" max="1806" width="12.140625" style="279" customWidth="1"/>
    <col min="1807" max="2048" width="9.140625" style="279"/>
    <col min="2049" max="2049" width="4" style="279" customWidth="1"/>
    <col min="2050" max="2050" width="10.5703125" style="279" customWidth="1"/>
    <col min="2051" max="2051" width="11.140625" style="279" customWidth="1"/>
    <col min="2052" max="2052" width="8.7109375" style="279" customWidth="1"/>
    <col min="2053" max="2053" width="8" style="279" customWidth="1"/>
    <col min="2054" max="2054" width="10.28515625" style="279" customWidth="1"/>
    <col min="2055" max="2055" width="7.140625" style="279" customWidth="1"/>
    <col min="2056" max="2056" width="6.85546875" style="279" customWidth="1"/>
    <col min="2057" max="2057" width="11.7109375" style="279" customWidth="1"/>
    <col min="2058" max="2058" width="11.5703125" style="279" customWidth="1"/>
    <col min="2059" max="2059" width="9.140625" style="279"/>
    <col min="2060" max="2060" width="10.5703125" style="279" bestFit="1" customWidth="1"/>
    <col min="2061" max="2061" width="9.140625" style="279"/>
    <col min="2062" max="2062" width="12.140625" style="279" customWidth="1"/>
    <col min="2063" max="2304" width="9.140625" style="279"/>
    <col min="2305" max="2305" width="4" style="279" customWidth="1"/>
    <col min="2306" max="2306" width="10.5703125" style="279" customWidth="1"/>
    <col min="2307" max="2307" width="11.140625" style="279" customWidth="1"/>
    <col min="2308" max="2308" width="8.7109375" style="279" customWidth="1"/>
    <col min="2309" max="2309" width="8" style="279" customWidth="1"/>
    <col min="2310" max="2310" width="10.28515625" style="279" customWidth="1"/>
    <col min="2311" max="2311" width="7.140625" style="279" customWidth="1"/>
    <col min="2312" max="2312" width="6.85546875" style="279" customWidth="1"/>
    <col min="2313" max="2313" width="11.7109375" style="279" customWidth="1"/>
    <col min="2314" max="2314" width="11.5703125" style="279" customWidth="1"/>
    <col min="2315" max="2315" width="9.140625" style="279"/>
    <col min="2316" max="2316" width="10.5703125" style="279" bestFit="1" customWidth="1"/>
    <col min="2317" max="2317" width="9.140625" style="279"/>
    <col min="2318" max="2318" width="12.140625" style="279" customWidth="1"/>
    <col min="2319" max="2560" width="9.140625" style="279"/>
    <col min="2561" max="2561" width="4" style="279" customWidth="1"/>
    <col min="2562" max="2562" width="10.5703125" style="279" customWidth="1"/>
    <col min="2563" max="2563" width="11.140625" style="279" customWidth="1"/>
    <col min="2564" max="2564" width="8.7109375" style="279" customWidth="1"/>
    <col min="2565" max="2565" width="8" style="279" customWidth="1"/>
    <col min="2566" max="2566" width="10.28515625" style="279" customWidth="1"/>
    <col min="2567" max="2567" width="7.140625" style="279" customWidth="1"/>
    <col min="2568" max="2568" width="6.85546875" style="279" customWidth="1"/>
    <col min="2569" max="2569" width="11.7109375" style="279" customWidth="1"/>
    <col min="2570" max="2570" width="11.5703125" style="279" customWidth="1"/>
    <col min="2571" max="2571" width="9.140625" style="279"/>
    <col min="2572" max="2572" width="10.5703125" style="279" bestFit="1" customWidth="1"/>
    <col min="2573" max="2573" width="9.140625" style="279"/>
    <col min="2574" max="2574" width="12.140625" style="279" customWidth="1"/>
    <col min="2575" max="2816" width="9.140625" style="279"/>
    <col min="2817" max="2817" width="4" style="279" customWidth="1"/>
    <col min="2818" max="2818" width="10.5703125" style="279" customWidth="1"/>
    <col min="2819" max="2819" width="11.140625" style="279" customWidth="1"/>
    <col min="2820" max="2820" width="8.7109375" style="279" customWidth="1"/>
    <col min="2821" max="2821" width="8" style="279" customWidth="1"/>
    <col min="2822" max="2822" width="10.28515625" style="279" customWidth="1"/>
    <col min="2823" max="2823" width="7.140625" style="279" customWidth="1"/>
    <col min="2824" max="2824" width="6.85546875" style="279" customWidth="1"/>
    <col min="2825" max="2825" width="11.7109375" style="279" customWidth="1"/>
    <col min="2826" max="2826" width="11.5703125" style="279" customWidth="1"/>
    <col min="2827" max="2827" width="9.140625" style="279"/>
    <col min="2828" max="2828" width="10.5703125" style="279" bestFit="1" customWidth="1"/>
    <col min="2829" max="2829" width="9.140625" style="279"/>
    <col min="2830" max="2830" width="12.140625" style="279" customWidth="1"/>
    <col min="2831" max="3072" width="9.140625" style="279"/>
    <col min="3073" max="3073" width="4" style="279" customWidth="1"/>
    <col min="3074" max="3074" width="10.5703125" style="279" customWidth="1"/>
    <col min="3075" max="3075" width="11.140625" style="279" customWidth="1"/>
    <col min="3076" max="3076" width="8.7109375" style="279" customWidth="1"/>
    <col min="3077" max="3077" width="8" style="279" customWidth="1"/>
    <col min="3078" max="3078" width="10.28515625" style="279" customWidth="1"/>
    <col min="3079" max="3079" width="7.140625" style="279" customWidth="1"/>
    <col min="3080" max="3080" width="6.85546875" style="279" customWidth="1"/>
    <col min="3081" max="3081" width="11.7109375" style="279" customWidth="1"/>
    <col min="3082" max="3082" width="11.5703125" style="279" customWidth="1"/>
    <col min="3083" max="3083" width="9.140625" style="279"/>
    <col min="3084" max="3084" width="10.5703125" style="279" bestFit="1" customWidth="1"/>
    <col min="3085" max="3085" width="9.140625" style="279"/>
    <col min="3086" max="3086" width="12.140625" style="279" customWidth="1"/>
    <col min="3087" max="3328" width="9.140625" style="279"/>
    <col min="3329" max="3329" width="4" style="279" customWidth="1"/>
    <col min="3330" max="3330" width="10.5703125" style="279" customWidth="1"/>
    <col min="3331" max="3331" width="11.140625" style="279" customWidth="1"/>
    <col min="3332" max="3332" width="8.7109375" style="279" customWidth="1"/>
    <col min="3333" max="3333" width="8" style="279" customWidth="1"/>
    <col min="3334" max="3334" width="10.28515625" style="279" customWidth="1"/>
    <col min="3335" max="3335" width="7.140625" style="279" customWidth="1"/>
    <col min="3336" max="3336" width="6.85546875" style="279" customWidth="1"/>
    <col min="3337" max="3337" width="11.7109375" style="279" customWidth="1"/>
    <col min="3338" max="3338" width="11.5703125" style="279" customWidth="1"/>
    <col min="3339" max="3339" width="9.140625" style="279"/>
    <col min="3340" max="3340" width="10.5703125" style="279" bestFit="1" customWidth="1"/>
    <col min="3341" max="3341" width="9.140625" style="279"/>
    <col min="3342" max="3342" width="12.140625" style="279" customWidth="1"/>
    <col min="3343" max="3584" width="9.140625" style="279"/>
    <col min="3585" max="3585" width="4" style="279" customWidth="1"/>
    <col min="3586" max="3586" width="10.5703125" style="279" customWidth="1"/>
    <col min="3587" max="3587" width="11.140625" style="279" customWidth="1"/>
    <col min="3588" max="3588" width="8.7109375" style="279" customWidth="1"/>
    <col min="3589" max="3589" width="8" style="279" customWidth="1"/>
    <col min="3590" max="3590" width="10.28515625" style="279" customWidth="1"/>
    <col min="3591" max="3591" width="7.140625" style="279" customWidth="1"/>
    <col min="3592" max="3592" width="6.85546875" style="279" customWidth="1"/>
    <col min="3593" max="3593" width="11.7109375" style="279" customWidth="1"/>
    <col min="3594" max="3594" width="11.5703125" style="279" customWidth="1"/>
    <col min="3595" max="3595" width="9.140625" style="279"/>
    <col min="3596" max="3596" width="10.5703125" style="279" bestFit="1" customWidth="1"/>
    <col min="3597" max="3597" width="9.140625" style="279"/>
    <col min="3598" max="3598" width="12.140625" style="279" customWidth="1"/>
    <col min="3599" max="3840" width="9.140625" style="279"/>
    <col min="3841" max="3841" width="4" style="279" customWidth="1"/>
    <col min="3842" max="3842" width="10.5703125" style="279" customWidth="1"/>
    <col min="3843" max="3843" width="11.140625" style="279" customWidth="1"/>
    <col min="3844" max="3844" width="8.7109375" style="279" customWidth="1"/>
    <col min="3845" max="3845" width="8" style="279" customWidth="1"/>
    <col min="3846" max="3846" width="10.28515625" style="279" customWidth="1"/>
    <col min="3847" max="3847" width="7.140625" style="279" customWidth="1"/>
    <col min="3848" max="3848" width="6.85546875" style="279" customWidth="1"/>
    <col min="3849" max="3849" width="11.7109375" style="279" customWidth="1"/>
    <col min="3850" max="3850" width="11.5703125" style="279" customWidth="1"/>
    <col min="3851" max="3851" width="9.140625" style="279"/>
    <col min="3852" max="3852" width="10.5703125" style="279" bestFit="1" customWidth="1"/>
    <col min="3853" max="3853" width="9.140625" style="279"/>
    <col min="3854" max="3854" width="12.140625" style="279" customWidth="1"/>
    <col min="3855" max="4096" width="9.140625" style="279"/>
    <col min="4097" max="4097" width="4" style="279" customWidth="1"/>
    <col min="4098" max="4098" width="10.5703125" style="279" customWidth="1"/>
    <col min="4099" max="4099" width="11.140625" style="279" customWidth="1"/>
    <col min="4100" max="4100" width="8.7109375" style="279" customWidth="1"/>
    <col min="4101" max="4101" width="8" style="279" customWidth="1"/>
    <col min="4102" max="4102" width="10.28515625" style="279" customWidth="1"/>
    <col min="4103" max="4103" width="7.140625" style="279" customWidth="1"/>
    <col min="4104" max="4104" width="6.85546875" style="279" customWidth="1"/>
    <col min="4105" max="4105" width="11.7109375" style="279" customWidth="1"/>
    <col min="4106" max="4106" width="11.5703125" style="279" customWidth="1"/>
    <col min="4107" max="4107" width="9.140625" style="279"/>
    <col min="4108" max="4108" width="10.5703125" style="279" bestFit="1" customWidth="1"/>
    <col min="4109" max="4109" width="9.140625" style="279"/>
    <col min="4110" max="4110" width="12.140625" style="279" customWidth="1"/>
    <col min="4111" max="4352" width="9.140625" style="279"/>
    <col min="4353" max="4353" width="4" style="279" customWidth="1"/>
    <col min="4354" max="4354" width="10.5703125" style="279" customWidth="1"/>
    <col min="4355" max="4355" width="11.140625" style="279" customWidth="1"/>
    <col min="4356" max="4356" width="8.7109375" style="279" customWidth="1"/>
    <col min="4357" max="4357" width="8" style="279" customWidth="1"/>
    <col min="4358" max="4358" width="10.28515625" style="279" customWidth="1"/>
    <col min="4359" max="4359" width="7.140625" style="279" customWidth="1"/>
    <col min="4360" max="4360" width="6.85546875" style="279" customWidth="1"/>
    <col min="4361" max="4361" width="11.7109375" style="279" customWidth="1"/>
    <col min="4362" max="4362" width="11.5703125" style="279" customWidth="1"/>
    <col min="4363" max="4363" width="9.140625" style="279"/>
    <col min="4364" max="4364" width="10.5703125" style="279" bestFit="1" customWidth="1"/>
    <col min="4365" max="4365" width="9.140625" style="279"/>
    <col min="4366" max="4366" width="12.140625" style="279" customWidth="1"/>
    <col min="4367" max="4608" width="9.140625" style="279"/>
    <col min="4609" max="4609" width="4" style="279" customWidth="1"/>
    <col min="4610" max="4610" width="10.5703125" style="279" customWidth="1"/>
    <col min="4611" max="4611" width="11.140625" style="279" customWidth="1"/>
    <col min="4612" max="4612" width="8.7109375" style="279" customWidth="1"/>
    <col min="4613" max="4613" width="8" style="279" customWidth="1"/>
    <col min="4614" max="4614" width="10.28515625" style="279" customWidth="1"/>
    <col min="4615" max="4615" width="7.140625" style="279" customWidth="1"/>
    <col min="4616" max="4616" width="6.85546875" style="279" customWidth="1"/>
    <col min="4617" max="4617" width="11.7109375" style="279" customWidth="1"/>
    <col min="4618" max="4618" width="11.5703125" style="279" customWidth="1"/>
    <col min="4619" max="4619" width="9.140625" style="279"/>
    <col min="4620" max="4620" width="10.5703125" style="279" bestFit="1" customWidth="1"/>
    <col min="4621" max="4621" width="9.140625" style="279"/>
    <col min="4622" max="4622" width="12.140625" style="279" customWidth="1"/>
    <col min="4623" max="4864" width="9.140625" style="279"/>
    <col min="4865" max="4865" width="4" style="279" customWidth="1"/>
    <col min="4866" max="4866" width="10.5703125" style="279" customWidth="1"/>
    <col min="4867" max="4867" width="11.140625" style="279" customWidth="1"/>
    <col min="4868" max="4868" width="8.7109375" style="279" customWidth="1"/>
    <col min="4869" max="4869" width="8" style="279" customWidth="1"/>
    <col min="4870" max="4870" width="10.28515625" style="279" customWidth="1"/>
    <col min="4871" max="4871" width="7.140625" style="279" customWidth="1"/>
    <col min="4872" max="4872" width="6.85546875" style="279" customWidth="1"/>
    <col min="4873" max="4873" width="11.7109375" style="279" customWidth="1"/>
    <col min="4874" max="4874" width="11.5703125" style="279" customWidth="1"/>
    <col min="4875" max="4875" width="9.140625" style="279"/>
    <col min="4876" max="4876" width="10.5703125" style="279" bestFit="1" customWidth="1"/>
    <col min="4877" max="4877" width="9.140625" style="279"/>
    <col min="4878" max="4878" width="12.140625" style="279" customWidth="1"/>
    <col min="4879" max="5120" width="9.140625" style="279"/>
    <col min="5121" max="5121" width="4" style="279" customWidth="1"/>
    <col min="5122" max="5122" width="10.5703125" style="279" customWidth="1"/>
    <col min="5123" max="5123" width="11.140625" style="279" customWidth="1"/>
    <col min="5124" max="5124" width="8.7109375" style="279" customWidth="1"/>
    <col min="5125" max="5125" width="8" style="279" customWidth="1"/>
    <col min="5126" max="5126" width="10.28515625" style="279" customWidth="1"/>
    <col min="5127" max="5127" width="7.140625" style="279" customWidth="1"/>
    <col min="5128" max="5128" width="6.85546875" style="279" customWidth="1"/>
    <col min="5129" max="5129" width="11.7109375" style="279" customWidth="1"/>
    <col min="5130" max="5130" width="11.5703125" style="279" customWidth="1"/>
    <col min="5131" max="5131" width="9.140625" style="279"/>
    <col min="5132" max="5132" width="10.5703125" style="279" bestFit="1" customWidth="1"/>
    <col min="5133" max="5133" width="9.140625" style="279"/>
    <col min="5134" max="5134" width="12.140625" style="279" customWidth="1"/>
    <col min="5135" max="5376" width="9.140625" style="279"/>
    <col min="5377" max="5377" width="4" style="279" customWidth="1"/>
    <col min="5378" max="5378" width="10.5703125" style="279" customWidth="1"/>
    <col min="5379" max="5379" width="11.140625" style="279" customWidth="1"/>
    <col min="5380" max="5380" width="8.7109375" style="279" customWidth="1"/>
    <col min="5381" max="5381" width="8" style="279" customWidth="1"/>
    <col min="5382" max="5382" width="10.28515625" style="279" customWidth="1"/>
    <col min="5383" max="5383" width="7.140625" style="279" customWidth="1"/>
    <col min="5384" max="5384" width="6.85546875" style="279" customWidth="1"/>
    <col min="5385" max="5385" width="11.7109375" style="279" customWidth="1"/>
    <col min="5386" max="5386" width="11.5703125" style="279" customWidth="1"/>
    <col min="5387" max="5387" width="9.140625" style="279"/>
    <col min="5388" max="5388" width="10.5703125" style="279" bestFit="1" customWidth="1"/>
    <col min="5389" max="5389" width="9.140625" style="279"/>
    <col min="5390" max="5390" width="12.140625" style="279" customWidth="1"/>
    <col min="5391" max="5632" width="9.140625" style="279"/>
    <col min="5633" max="5633" width="4" style="279" customWidth="1"/>
    <col min="5634" max="5634" width="10.5703125" style="279" customWidth="1"/>
    <col min="5635" max="5635" width="11.140625" style="279" customWidth="1"/>
    <col min="5636" max="5636" width="8.7109375" style="279" customWidth="1"/>
    <col min="5637" max="5637" width="8" style="279" customWidth="1"/>
    <col min="5638" max="5638" width="10.28515625" style="279" customWidth="1"/>
    <col min="5639" max="5639" width="7.140625" style="279" customWidth="1"/>
    <col min="5640" max="5640" width="6.85546875" style="279" customWidth="1"/>
    <col min="5641" max="5641" width="11.7109375" style="279" customWidth="1"/>
    <col min="5642" max="5642" width="11.5703125" style="279" customWidth="1"/>
    <col min="5643" max="5643" width="9.140625" style="279"/>
    <col min="5644" max="5644" width="10.5703125" style="279" bestFit="1" customWidth="1"/>
    <col min="5645" max="5645" width="9.140625" style="279"/>
    <col min="5646" max="5646" width="12.140625" style="279" customWidth="1"/>
    <col min="5647" max="5888" width="9.140625" style="279"/>
    <col min="5889" max="5889" width="4" style="279" customWidth="1"/>
    <col min="5890" max="5890" width="10.5703125" style="279" customWidth="1"/>
    <col min="5891" max="5891" width="11.140625" style="279" customWidth="1"/>
    <col min="5892" max="5892" width="8.7109375" style="279" customWidth="1"/>
    <col min="5893" max="5893" width="8" style="279" customWidth="1"/>
    <col min="5894" max="5894" width="10.28515625" style="279" customWidth="1"/>
    <col min="5895" max="5895" width="7.140625" style="279" customWidth="1"/>
    <col min="5896" max="5896" width="6.85546875" style="279" customWidth="1"/>
    <col min="5897" max="5897" width="11.7109375" style="279" customWidth="1"/>
    <col min="5898" max="5898" width="11.5703125" style="279" customWidth="1"/>
    <col min="5899" max="5899" width="9.140625" style="279"/>
    <col min="5900" max="5900" width="10.5703125" style="279" bestFit="1" customWidth="1"/>
    <col min="5901" max="5901" width="9.140625" style="279"/>
    <col min="5902" max="5902" width="12.140625" style="279" customWidth="1"/>
    <col min="5903" max="6144" width="9.140625" style="279"/>
    <col min="6145" max="6145" width="4" style="279" customWidth="1"/>
    <col min="6146" max="6146" width="10.5703125" style="279" customWidth="1"/>
    <col min="6147" max="6147" width="11.140625" style="279" customWidth="1"/>
    <col min="6148" max="6148" width="8.7109375" style="279" customWidth="1"/>
    <col min="6149" max="6149" width="8" style="279" customWidth="1"/>
    <col min="6150" max="6150" width="10.28515625" style="279" customWidth="1"/>
    <col min="6151" max="6151" width="7.140625" style="279" customWidth="1"/>
    <col min="6152" max="6152" width="6.85546875" style="279" customWidth="1"/>
    <col min="6153" max="6153" width="11.7109375" style="279" customWidth="1"/>
    <col min="6154" max="6154" width="11.5703125" style="279" customWidth="1"/>
    <col min="6155" max="6155" width="9.140625" style="279"/>
    <col min="6156" max="6156" width="10.5703125" style="279" bestFit="1" customWidth="1"/>
    <col min="6157" max="6157" width="9.140625" style="279"/>
    <col min="6158" max="6158" width="12.140625" style="279" customWidth="1"/>
    <col min="6159" max="6400" width="9.140625" style="279"/>
    <col min="6401" max="6401" width="4" style="279" customWidth="1"/>
    <col min="6402" max="6402" width="10.5703125" style="279" customWidth="1"/>
    <col min="6403" max="6403" width="11.140625" style="279" customWidth="1"/>
    <col min="6404" max="6404" width="8.7109375" style="279" customWidth="1"/>
    <col min="6405" max="6405" width="8" style="279" customWidth="1"/>
    <col min="6406" max="6406" width="10.28515625" style="279" customWidth="1"/>
    <col min="6407" max="6407" width="7.140625" style="279" customWidth="1"/>
    <col min="6408" max="6408" width="6.85546875" style="279" customWidth="1"/>
    <col min="6409" max="6409" width="11.7109375" style="279" customWidth="1"/>
    <col min="6410" max="6410" width="11.5703125" style="279" customWidth="1"/>
    <col min="6411" max="6411" width="9.140625" style="279"/>
    <col min="6412" max="6412" width="10.5703125" style="279" bestFit="1" customWidth="1"/>
    <col min="6413" max="6413" width="9.140625" style="279"/>
    <col min="6414" max="6414" width="12.140625" style="279" customWidth="1"/>
    <col min="6415" max="6656" width="9.140625" style="279"/>
    <col min="6657" max="6657" width="4" style="279" customWidth="1"/>
    <col min="6658" max="6658" width="10.5703125" style="279" customWidth="1"/>
    <col min="6659" max="6659" width="11.140625" style="279" customWidth="1"/>
    <col min="6660" max="6660" width="8.7109375" style="279" customWidth="1"/>
    <col min="6661" max="6661" width="8" style="279" customWidth="1"/>
    <col min="6662" max="6662" width="10.28515625" style="279" customWidth="1"/>
    <col min="6663" max="6663" width="7.140625" style="279" customWidth="1"/>
    <col min="6664" max="6664" width="6.85546875" style="279" customWidth="1"/>
    <col min="6665" max="6665" width="11.7109375" style="279" customWidth="1"/>
    <col min="6666" max="6666" width="11.5703125" style="279" customWidth="1"/>
    <col min="6667" max="6667" width="9.140625" style="279"/>
    <col min="6668" max="6668" width="10.5703125" style="279" bestFit="1" customWidth="1"/>
    <col min="6669" max="6669" width="9.140625" style="279"/>
    <col min="6670" max="6670" width="12.140625" style="279" customWidth="1"/>
    <col min="6671" max="6912" width="9.140625" style="279"/>
    <col min="6913" max="6913" width="4" style="279" customWidth="1"/>
    <col min="6914" max="6914" width="10.5703125" style="279" customWidth="1"/>
    <col min="6915" max="6915" width="11.140625" style="279" customWidth="1"/>
    <col min="6916" max="6916" width="8.7109375" style="279" customWidth="1"/>
    <col min="6917" max="6917" width="8" style="279" customWidth="1"/>
    <col min="6918" max="6918" width="10.28515625" style="279" customWidth="1"/>
    <col min="6919" max="6919" width="7.140625" style="279" customWidth="1"/>
    <col min="6920" max="6920" width="6.85546875" style="279" customWidth="1"/>
    <col min="6921" max="6921" width="11.7109375" style="279" customWidth="1"/>
    <col min="6922" max="6922" width="11.5703125" style="279" customWidth="1"/>
    <col min="6923" max="6923" width="9.140625" style="279"/>
    <col min="6924" max="6924" width="10.5703125" style="279" bestFit="1" customWidth="1"/>
    <col min="6925" max="6925" width="9.140625" style="279"/>
    <col min="6926" max="6926" width="12.140625" style="279" customWidth="1"/>
    <col min="6927" max="7168" width="9.140625" style="279"/>
    <col min="7169" max="7169" width="4" style="279" customWidth="1"/>
    <col min="7170" max="7170" width="10.5703125" style="279" customWidth="1"/>
    <col min="7171" max="7171" width="11.140625" style="279" customWidth="1"/>
    <col min="7172" max="7172" width="8.7109375" style="279" customWidth="1"/>
    <col min="7173" max="7173" width="8" style="279" customWidth="1"/>
    <col min="7174" max="7174" width="10.28515625" style="279" customWidth="1"/>
    <col min="7175" max="7175" width="7.140625" style="279" customWidth="1"/>
    <col min="7176" max="7176" width="6.85546875" style="279" customWidth="1"/>
    <col min="7177" max="7177" width="11.7109375" style="279" customWidth="1"/>
    <col min="7178" max="7178" width="11.5703125" style="279" customWidth="1"/>
    <col min="7179" max="7179" width="9.140625" style="279"/>
    <col min="7180" max="7180" width="10.5703125" style="279" bestFit="1" customWidth="1"/>
    <col min="7181" max="7181" width="9.140625" style="279"/>
    <col min="7182" max="7182" width="12.140625" style="279" customWidth="1"/>
    <col min="7183" max="7424" width="9.140625" style="279"/>
    <col min="7425" max="7425" width="4" style="279" customWidth="1"/>
    <col min="7426" max="7426" width="10.5703125" style="279" customWidth="1"/>
    <col min="7427" max="7427" width="11.140625" style="279" customWidth="1"/>
    <col min="7428" max="7428" width="8.7109375" style="279" customWidth="1"/>
    <col min="7429" max="7429" width="8" style="279" customWidth="1"/>
    <col min="7430" max="7430" width="10.28515625" style="279" customWidth="1"/>
    <col min="7431" max="7431" width="7.140625" style="279" customWidth="1"/>
    <col min="7432" max="7432" width="6.85546875" style="279" customWidth="1"/>
    <col min="7433" max="7433" width="11.7109375" style="279" customWidth="1"/>
    <col min="7434" max="7434" width="11.5703125" style="279" customWidth="1"/>
    <col min="7435" max="7435" width="9.140625" style="279"/>
    <col min="7436" max="7436" width="10.5703125" style="279" bestFit="1" customWidth="1"/>
    <col min="7437" max="7437" width="9.140625" style="279"/>
    <col min="7438" max="7438" width="12.140625" style="279" customWidth="1"/>
    <col min="7439" max="7680" width="9.140625" style="279"/>
    <col min="7681" max="7681" width="4" style="279" customWidth="1"/>
    <col min="7682" max="7682" width="10.5703125" style="279" customWidth="1"/>
    <col min="7683" max="7683" width="11.140625" style="279" customWidth="1"/>
    <col min="7684" max="7684" width="8.7109375" style="279" customWidth="1"/>
    <col min="7685" max="7685" width="8" style="279" customWidth="1"/>
    <col min="7686" max="7686" width="10.28515625" style="279" customWidth="1"/>
    <col min="7687" max="7687" width="7.140625" style="279" customWidth="1"/>
    <col min="7688" max="7688" width="6.85546875" style="279" customWidth="1"/>
    <col min="7689" max="7689" width="11.7109375" style="279" customWidth="1"/>
    <col min="7690" max="7690" width="11.5703125" style="279" customWidth="1"/>
    <col min="7691" max="7691" width="9.140625" style="279"/>
    <col min="7692" max="7692" width="10.5703125" style="279" bestFit="1" customWidth="1"/>
    <col min="7693" max="7693" width="9.140625" style="279"/>
    <col min="7694" max="7694" width="12.140625" style="279" customWidth="1"/>
    <col min="7695" max="7936" width="9.140625" style="279"/>
    <col min="7937" max="7937" width="4" style="279" customWidth="1"/>
    <col min="7938" max="7938" width="10.5703125" style="279" customWidth="1"/>
    <col min="7939" max="7939" width="11.140625" style="279" customWidth="1"/>
    <col min="7940" max="7940" width="8.7109375" style="279" customWidth="1"/>
    <col min="7941" max="7941" width="8" style="279" customWidth="1"/>
    <col min="7942" max="7942" width="10.28515625" style="279" customWidth="1"/>
    <col min="7943" max="7943" width="7.140625" style="279" customWidth="1"/>
    <col min="7944" max="7944" width="6.85546875" style="279" customWidth="1"/>
    <col min="7945" max="7945" width="11.7109375" style="279" customWidth="1"/>
    <col min="7946" max="7946" width="11.5703125" style="279" customWidth="1"/>
    <col min="7947" max="7947" width="9.140625" style="279"/>
    <col min="7948" max="7948" width="10.5703125" style="279" bestFit="1" customWidth="1"/>
    <col min="7949" max="7949" width="9.140625" style="279"/>
    <col min="7950" max="7950" width="12.140625" style="279" customWidth="1"/>
    <col min="7951" max="8192" width="9.140625" style="279"/>
    <col min="8193" max="8193" width="4" style="279" customWidth="1"/>
    <col min="8194" max="8194" width="10.5703125" style="279" customWidth="1"/>
    <col min="8195" max="8195" width="11.140625" style="279" customWidth="1"/>
    <col min="8196" max="8196" width="8.7109375" style="279" customWidth="1"/>
    <col min="8197" max="8197" width="8" style="279" customWidth="1"/>
    <col min="8198" max="8198" width="10.28515625" style="279" customWidth="1"/>
    <col min="8199" max="8199" width="7.140625" style="279" customWidth="1"/>
    <col min="8200" max="8200" width="6.85546875" style="279" customWidth="1"/>
    <col min="8201" max="8201" width="11.7109375" style="279" customWidth="1"/>
    <col min="8202" max="8202" width="11.5703125" style="279" customWidth="1"/>
    <col min="8203" max="8203" width="9.140625" style="279"/>
    <col min="8204" max="8204" width="10.5703125" style="279" bestFit="1" customWidth="1"/>
    <col min="8205" max="8205" width="9.140625" style="279"/>
    <col min="8206" max="8206" width="12.140625" style="279" customWidth="1"/>
    <col min="8207" max="8448" width="9.140625" style="279"/>
    <col min="8449" max="8449" width="4" style="279" customWidth="1"/>
    <col min="8450" max="8450" width="10.5703125" style="279" customWidth="1"/>
    <col min="8451" max="8451" width="11.140625" style="279" customWidth="1"/>
    <col min="8452" max="8452" width="8.7109375" style="279" customWidth="1"/>
    <col min="8453" max="8453" width="8" style="279" customWidth="1"/>
    <col min="8454" max="8454" width="10.28515625" style="279" customWidth="1"/>
    <col min="8455" max="8455" width="7.140625" style="279" customWidth="1"/>
    <col min="8456" max="8456" width="6.85546875" style="279" customWidth="1"/>
    <col min="8457" max="8457" width="11.7109375" style="279" customWidth="1"/>
    <col min="8458" max="8458" width="11.5703125" style="279" customWidth="1"/>
    <col min="8459" max="8459" width="9.140625" style="279"/>
    <col min="8460" max="8460" width="10.5703125" style="279" bestFit="1" customWidth="1"/>
    <col min="8461" max="8461" width="9.140625" style="279"/>
    <col min="8462" max="8462" width="12.140625" style="279" customWidth="1"/>
    <col min="8463" max="8704" width="9.140625" style="279"/>
    <col min="8705" max="8705" width="4" style="279" customWidth="1"/>
    <col min="8706" max="8706" width="10.5703125" style="279" customWidth="1"/>
    <col min="8707" max="8707" width="11.140625" style="279" customWidth="1"/>
    <col min="8708" max="8708" width="8.7109375" style="279" customWidth="1"/>
    <col min="8709" max="8709" width="8" style="279" customWidth="1"/>
    <col min="8710" max="8710" width="10.28515625" style="279" customWidth="1"/>
    <col min="8711" max="8711" width="7.140625" style="279" customWidth="1"/>
    <col min="8712" max="8712" width="6.85546875" style="279" customWidth="1"/>
    <col min="8713" max="8713" width="11.7109375" style="279" customWidth="1"/>
    <col min="8714" max="8714" width="11.5703125" style="279" customWidth="1"/>
    <col min="8715" max="8715" width="9.140625" style="279"/>
    <col min="8716" max="8716" width="10.5703125" style="279" bestFit="1" customWidth="1"/>
    <col min="8717" max="8717" width="9.140625" style="279"/>
    <col min="8718" max="8718" width="12.140625" style="279" customWidth="1"/>
    <col min="8719" max="8960" width="9.140625" style="279"/>
    <col min="8961" max="8961" width="4" style="279" customWidth="1"/>
    <col min="8962" max="8962" width="10.5703125" style="279" customWidth="1"/>
    <col min="8963" max="8963" width="11.140625" style="279" customWidth="1"/>
    <col min="8964" max="8964" width="8.7109375" style="279" customWidth="1"/>
    <col min="8965" max="8965" width="8" style="279" customWidth="1"/>
    <col min="8966" max="8966" width="10.28515625" style="279" customWidth="1"/>
    <col min="8967" max="8967" width="7.140625" style="279" customWidth="1"/>
    <col min="8968" max="8968" width="6.85546875" style="279" customWidth="1"/>
    <col min="8969" max="8969" width="11.7109375" style="279" customWidth="1"/>
    <col min="8970" max="8970" width="11.5703125" style="279" customWidth="1"/>
    <col min="8971" max="8971" width="9.140625" style="279"/>
    <col min="8972" max="8972" width="10.5703125" style="279" bestFit="1" customWidth="1"/>
    <col min="8973" max="8973" width="9.140625" style="279"/>
    <col min="8974" max="8974" width="12.140625" style="279" customWidth="1"/>
    <col min="8975" max="9216" width="9.140625" style="279"/>
    <col min="9217" max="9217" width="4" style="279" customWidth="1"/>
    <col min="9218" max="9218" width="10.5703125" style="279" customWidth="1"/>
    <col min="9219" max="9219" width="11.140625" style="279" customWidth="1"/>
    <col min="9220" max="9220" width="8.7109375" style="279" customWidth="1"/>
    <col min="9221" max="9221" width="8" style="279" customWidth="1"/>
    <col min="9222" max="9222" width="10.28515625" style="279" customWidth="1"/>
    <col min="9223" max="9223" width="7.140625" style="279" customWidth="1"/>
    <col min="9224" max="9224" width="6.85546875" style="279" customWidth="1"/>
    <col min="9225" max="9225" width="11.7109375" style="279" customWidth="1"/>
    <col min="9226" max="9226" width="11.5703125" style="279" customWidth="1"/>
    <col min="9227" max="9227" width="9.140625" style="279"/>
    <col min="9228" max="9228" width="10.5703125" style="279" bestFit="1" customWidth="1"/>
    <col min="9229" max="9229" width="9.140625" style="279"/>
    <col min="9230" max="9230" width="12.140625" style="279" customWidth="1"/>
    <col min="9231" max="9472" width="9.140625" style="279"/>
    <col min="9473" max="9473" width="4" style="279" customWidth="1"/>
    <col min="9474" max="9474" width="10.5703125" style="279" customWidth="1"/>
    <col min="9475" max="9475" width="11.140625" style="279" customWidth="1"/>
    <col min="9476" max="9476" width="8.7109375" style="279" customWidth="1"/>
    <col min="9477" max="9477" width="8" style="279" customWidth="1"/>
    <col min="9478" max="9478" width="10.28515625" style="279" customWidth="1"/>
    <col min="9479" max="9479" width="7.140625" style="279" customWidth="1"/>
    <col min="9480" max="9480" width="6.85546875" style="279" customWidth="1"/>
    <col min="9481" max="9481" width="11.7109375" style="279" customWidth="1"/>
    <col min="9482" max="9482" width="11.5703125" style="279" customWidth="1"/>
    <col min="9483" max="9483" width="9.140625" style="279"/>
    <col min="9484" max="9484" width="10.5703125" style="279" bestFit="1" customWidth="1"/>
    <col min="9485" max="9485" width="9.140625" style="279"/>
    <col min="9486" max="9486" width="12.140625" style="279" customWidth="1"/>
    <col min="9487" max="9728" width="9.140625" style="279"/>
    <col min="9729" max="9729" width="4" style="279" customWidth="1"/>
    <col min="9730" max="9730" width="10.5703125" style="279" customWidth="1"/>
    <col min="9731" max="9731" width="11.140625" style="279" customWidth="1"/>
    <col min="9732" max="9732" width="8.7109375" style="279" customWidth="1"/>
    <col min="9733" max="9733" width="8" style="279" customWidth="1"/>
    <col min="9734" max="9734" width="10.28515625" style="279" customWidth="1"/>
    <col min="9735" max="9735" width="7.140625" style="279" customWidth="1"/>
    <col min="9736" max="9736" width="6.85546875" style="279" customWidth="1"/>
    <col min="9737" max="9737" width="11.7109375" style="279" customWidth="1"/>
    <col min="9738" max="9738" width="11.5703125" style="279" customWidth="1"/>
    <col min="9739" max="9739" width="9.140625" style="279"/>
    <col min="9740" max="9740" width="10.5703125" style="279" bestFit="1" customWidth="1"/>
    <col min="9741" max="9741" width="9.140625" style="279"/>
    <col min="9742" max="9742" width="12.140625" style="279" customWidth="1"/>
    <col min="9743" max="9984" width="9.140625" style="279"/>
    <col min="9985" max="9985" width="4" style="279" customWidth="1"/>
    <col min="9986" max="9986" width="10.5703125" style="279" customWidth="1"/>
    <col min="9987" max="9987" width="11.140625" style="279" customWidth="1"/>
    <col min="9988" max="9988" width="8.7109375" style="279" customWidth="1"/>
    <col min="9989" max="9989" width="8" style="279" customWidth="1"/>
    <col min="9990" max="9990" width="10.28515625" style="279" customWidth="1"/>
    <col min="9991" max="9991" width="7.140625" style="279" customWidth="1"/>
    <col min="9992" max="9992" width="6.85546875" style="279" customWidth="1"/>
    <col min="9993" max="9993" width="11.7109375" style="279" customWidth="1"/>
    <col min="9994" max="9994" width="11.5703125" style="279" customWidth="1"/>
    <col min="9995" max="9995" width="9.140625" style="279"/>
    <col min="9996" max="9996" width="10.5703125" style="279" bestFit="1" customWidth="1"/>
    <col min="9997" max="9997" width="9.140625" style="279"/>
    <col min="9998" max="9998" width="12.140625" style="279" customWidth="1"/>
    <col min="9999" max="10240" width="9.140625" style="279"/>
    <col min="10241" max="10241" width="4" style="279" customWidth="1"/>
    <col min="10242" max="10242" width="10.5703125" style="279" customWidth="1"/>
    <col min="10243" max="10243" width="11.140625" style="279" customWidth="1"/>
    <col min="10244" max="10244" width="8.7109375" style="279" customWidth="1"/>
    <col min="10245" max="10245" width="8" style="279" customWidth="1"/>
    <col min="10246" max="10246" width="10.28515625" style="279" customWidth="1"/>
    <col min="10247" max="10247" width="7.140625" style="279" customWidth="1"/>
    <col min="10248" max="10248" width="6.85546875" style="279" customWidth="1"/>
    <col min="10249" max="10249" width="11.7109375" style="279" customWidth="1"/>
    <col min="10250" max="10250" width="11.5703125" style="279" customWidth="1"/>
    <col min="10251" max="10251" width="9.140625" style="279"/>
    <col min="10252" max="10252" width="10.5703125" style="279" bestFit="1" customWidth="1"/>
    <col min="10253" max="10253" width="9.140625" style="279"/>
    <col min="10254" max="10254" width="12.140625" style="279" customWidth="1"/>
    <col min="10255" max="10496" width="9.140625" style="279"/>
    <col min="10497" max="10497" width="4" style="279" customWidth="1"/>
    <col min="10498" max="10498" width="10.5703125" style="279" customWidth="1"/>
    <col min="10499" max="10499" width="11.140625" style="279" customWidth="1"/>
    <col min="10500" max="10500" width="8.7109375" style="279" customWidth="1"/>
    <col min="10501" max="10501" width="8" style="279" customWidth="1"/>
    <col min="10502" max="10502" width="10.28515625" style="279" customWidth="1"/>
    <col min="10503" max="10503" width="7.140625" style="279" customWidth="1"/>
    <col min="10504" max="10504" width="6.85546875" style="279" customWidth="1"/>
    <col min="10505" max="10505" width="11.7109375" style="279" customWidth="1"/>
    <col min="10506" max="10506" width="11.5703125" style="279" customWidth="1"/>
    <col min="10507" max="10507" width="9.140625" style="279"/>
    <col min="10508" max="10508" width="10.5703125" style="279" bestFit="1" customWidth="1"/>
    <col min="10509" max="10509" width="9.140625" style="279"/>
    <col min="10510" max="10510" width="12.140625" style="279" customWidth="1"/>
    <col min="10511" max="10752" width="9.140625" style="279"/>
    <col min="10753" max="10753" width="4" style="279" customWidth="1"/>
    <col min="10754" max="10754" width="10.5703125" style="279" customWidth="1"/>
    <col min="10755" max="10755" width="11.140625" style="279" customWidth="1"/>
    <col min="10756" max="10756" width="8.7109375" style="279" customWidth="1"/>
    <col min="10757" max="10757" width="8" style="279" customWidth="1"/>
    <col min="10758" max="10758" width="10.28515625" style="279" customWidth="1"/>
    <col min="10759" max="10759" width="7.140625" style="279" customWidth="1"/>
    <col min="10760" max="10760" width="6.85546875" style="279" customWidth="1"/>
    <col min="10761" max="10761" width="11.7109375" style="279" customWidth="1"/>
    <col min="10762" max="10762" width="11.5703125" style="279" customWidth="1"/>
    <col min="10763" max="10763" width="9.140625" style="279"/>
    <col min="10764" max="10764" width="10.5703125" style="279" bestFit="1" customWidth="1"/>
    <col min="10765" max="10765" width="9.140625" style="279"/>
    <col min="10766" max="10766" width="12.140625" style="279" customWidth="1"/>
    <col min="10767" max="11008" width="9.140625" style="279"/>
    <col min="11009" max="11009" width="4" style="279" customWidth="1"/>
    <col min="11010" max="11010" width="10.5703125" style="279" customWidth="1"/>
    <col min="11011" max="11011" width="11.140625" style="279" customWidth="1"/>
    <col min="11012" max="11012" width="8.7109375" style="279" customWidth="1"/>
    <col min="11013" max="11013" width="8" style="279" customWidth="1"/>
    <col min="11014" max="11014" width="10.28515625" style="279" customWidth="1"/>
    <col min="11015" max="11015" width="7.140625" style="279" customWidth="1"/>
    <col min="11016" max="11016" width="6.85546875" style="279" customWidth="1"/>
    <col min="11017" max="11017" width="11.7109375" style="279" customWidth="1"/>
    <col min="11018" max="11018" width="11.5703125" style="279" customWidth="1"/>
    <col min="11019" max="11019" width="9.140625" style="279"/>
    <col min="11020" max="11020" width="10.5703125" style="279" bestFit="1" customWidth="1"/>
    <col min="11021" max="11021" width="9.140625" style="279"/>
    <col min="11022" max="11022" width="12.140625" style="279" customWidth="1"/>
    <col min="11023" max="11264" width="9.140625" style="279"/>
    <col min="11265" max="11265" width="4" style="279" customWidth="1"/>
    <col min="11266" max="11266" width="10.5703125" style="279" customWidth="1"/>
    <col min="11267" max="11267" width="11.140625" style="279" customWidth="1"/>
    <col min="11268" max="11268" width="8.7109375" style="279" customWidth="1"/>
    <col min="11269" max="11269" width="8" style="279" customWidth="1"/>
    <col min="11270" max="11270" width="10.28515625" style="279" customWidth="1"/>
    <col min="11271" max="11271" width="7.140625" style="279" customWidth="1"/>
    <col min="11272" max="11272" width="6.85546875" style="279" customWidth="1"/>
    <col min="11273" max="11273" width="11.7109375" style="279" customWidth="1"/>
    <col min="11274" max="11274" width="11.5703125" style="279" customWidth="1"/>
    <col min="11275" max="11275" width="9.140625" style="279"/>
    <col min="11276" max="11276" width="10.5703125" style="279" bestFit="1" customWidth="1"/>
    <col min="11277" max="11277" width="9.140625" style="279"/>
    <col min="11278" max="11278" width="12.140625" style="279" customWidth="1"/>
    <col min="11279" max="11520" width="9.140625" style="279"/>
    <col min="11521" max="11521" width="4" style="279" customWidth="1"/>
    <col min="11522" max="11522" width="10.5703125" style="279" customWidth="1"/>
    <col min="11523" max="11523" width="11.140625" style="279" customWidth="1"/>
    <col min="11524" max="11524" width="8.7109375" style="279" customWidth="1"/>
    <col min="11525" max="11525" width="8" style="279" customWidth="1"/>
    <col min="11526" max="11526" width="10.28515625" style="279" customWidth="1"/>
    <col min="11527" max="11527" width="7.140625" style="279" customWidth="1"/>
    <col min="11528" max="11528" width="6.85546875" style="279" customWidth="1"/>
    <col min="11529" max="11529" width="11.7109375" style="279" customWidth="1"/>
    <col min="11530" max="11530" width="11.5703125" style="279" customWidth="1"/>
    <col min="11531" max="11531" width="9.140625" style="279"/>
    <col min="11532" max="11532" width="10.5703125" style="279" bestFit="1" customWidth="1"/>
    <col min="11533" max="11533" width="9.140625" style="279"/>
    <col min="11534" max="11534" width="12.140625" style="279" customWidth="1"/>
    <col min="11535" max="11776" width="9.140625" style="279"/>
    <col min="11777" max="11777" width="4" style="279" customWidth="1"/>
    <col min="11778" max="11778" width="10.5703125" style="279" customWidth="1"/>
    <col min="11779" max="11779" width="11.140625" style="279" customWidth="1"/>
    <col min="11780" max="11780" width="8.7109375" style="279" customWidth="1"/>
    <col min="11781" max="11781" width="8" style="279" customWidth="1"/>
    <col min="11782" max="11782" width="10.28515625" style="279" customWidth="1"/>
    <col min="11783" max="11783" width="7.140625" style="279" customWidth="1"/>
    <col min="11784" max="11784" width="6.85546875" style="279" customWidth="1"/>
    <col min="11785" max="11785" width="11.7109375" style="279" customWidth="1"/>
    <col min="11786" max="11786" width="11.5703125" style="279" customWidth="1"/>
    <col min="11787" max="11787" width="9.140625" style="279"/>
    <col min="11788" max="11788" width="10.5703125" style="279" bestFit="1" customWidth="1"/>
    <col min="11789" max="11789" width="9.140625" style="279"/>
    <col min="11790" max="11790" width="12.140625" style="279" customWidth="1"/>
    <col min="11791" max="12032" width="9.140625" style="279"/>
    <col min="12033" max="12033" width="4" style="279" customWidth="1"/>
    <col min="12034" max="12034" width="10.5703125" style="279" customWidth="1"/>
    <col min="12035" max="12035" width="11.140625" style="279" customWidth="1"/>
    <col min="12036" max="12036" width="8.7109375" style="279" customWidth="1"/>
    <col min="12037" max="12037" width="8" style="279" customWidth="1"/>
    <col min="12038" max="12038" width="10.28515625" style="279" customWidth="1"/>
    <col min="12039" max="12039" width="7.140625" style="279" customWidth="1"/>
    <col min="12040" max="12040" width="6.85546875" style="279" customWidth="1"/>
    <col min="12041" max="12041" width="11.7109375" style="279" customWidth="1"/>
    <col min="12042" max="12042" width="11.5703125" style="279" customWidth="1"/>
    <col min="12043" max="12043" width="9.140625" style="279"/>
    <col min="12044" max="12044" width="10.5703125" style="279" bestFit="1" customWidth="1"/>
    <col min="12045" max="12045" width="9.140625" style="279"/>
    <col min="12046" max="12046" width="12.140625" style="279" customWidth="1"/>
    <col min="12047" max="12288" width="9.140625" style="279"/>
    <col min="12289" max="12289" width="4" style="279" customWidth="1"/>
    <col min="12290" max="12290" width="10.5703125" style="279" customWidth="1"/>
    <col min="12291" max="12291" width="11.140625" style="279" customWidth="1"/>
    <col min="12292" max="12292" width="8.7109375" style="279" customWidth="1"/>
    <col min="12293" max="12293" width="8" style="279" customWidth="1"/>
    <col min="12294" max="12294" width="10.28515625" style="279" customWidth="1"/>
    <col min="12295" max="12295" width="7.140625" style="279" customWidth="1"/>
    <col min="12296" max="12296" width="6.85546875" style="279" customWidth="1"/>
    <col min="12297" max="12297" width="11.7109375" style="279" customWidth="1"/>
    <col min="12298" max="12298" width="11.5703125" style="279" customWidth="1"/>
    <col min="12299" max="12299" width="9.140625" style="279"/>
    <col min="12300" max="12300" width="10.5703125" style="279" bestFit="1" customWidth="1"/>
    <col min="12301" max="12301" width="9.140625" style="279"/>
    <col min="12302" max="12302" width="12.140625" style="279" customWidth="1"/>
    <col min="12303" max="12544" width="9.140625" style="279"/>
    <col min="12545" max="12545" width="4" style="279" customWidth="1"/>
    <col min="12546" max="12546" width="10.5703125" style="279" customWidth="1"/>
    <col min="12547" max="12547" width="11.140625" style="279" customWidth="1"/>
    <col min="12548" max="12548" width="8.7109375" style="279" customWidth="1"/>
    <col min="12549" max="12549" width="8" style="279" customWidth="1"/>
    <col min="12550" max="12550" width="10.28515625" style="279" customWidth="1"/>
    <col min="12551" max="12551" width="7.140625" style="279" customWidth="1"/>
    <col min="12552" max="12552" width="6.85546875" style="279" customWidth="1"/>
    <col min="12553" max="12553" width="11.7109375" style="279" customWidth="1"/>
    <col min="12554" max="12554" width="11.5703125" style="279" customWidth="1"/>
    <col min="12555" max="12555" width="9.140625" style="279"/>
    <col min="12556" max="12556" width="10.5703125" style="279" bestFit="1" customWidth="1"/>
    <col min="12557" max="12557" width="9.140625" style="279"/>
    <col min="12558" max="12558" width="12.140625" style="279" customWidth="1"/>
    <col min="12559" max="12800" width="9.140625" style="279"/>
    <col min="12801" max="12801" width="4" style="279" customWidth="1"/>
    <col min="12802" max="12802" width="10.5703125" style="279" customWidth="1"/>
    <col min="12803" max="12803" width="11.140625" style="279" customWidth="1"/>
    <col min="12804" max="12804" width="8.7109375" style="279" customWidth="1"/>
    <col min="12805" max="12805" width="8" style="279" customWidth="1"/>
    <col min="12806" max="12806" width="10.28515625" style="279" customWidth="1"/>
    <col min="12807" max="12807" width="7.140625" style="279" customWidth="1"/>
    <col min="12808" max="12808" width="6.85546875" style="279" customWidth="1"/>
    <col min="12809" max="12809" width="11.7109375" style="279" customWidth="1"/>
    <col min="12810" max="12810" width="11.5703125" style="279" customWidth="1"/>
    <col min="12811" max="12811" width="9.140625" style="279"/>
    <col min="12812" max="12812" width="10.5703125" style="279" bestFit="1" customWidth="1"/>
    <col min="12813" max="12813" width="9.140625" style="279"/>
    <col min="12814" max="12814" width="12.140625" style="279" customWidth="1"/>
    <col min="12815" max="13056" width="9.140625" style="279"/>
    <col min="13057" max="13057" width="4" style="279" customWidth="1"/>
    <col min="13058" max="13058" width="10.5703125" style="279" customWidth="1"/>
    <col min="13059" max="13059" width="11.140625" style="279" customWidth="1"/>
    <col min="13060" max="13060" width="8.7109375" style="279" customWidth="1"/>
    <col min="13061" max="13061" width="8" style="279" customWidth="1"/>
    <col min="13062" max="13062" width="10.28515625" style="279" customWidth="1"/>
    <col min="13063" max="13063" width="7.140625" style="279" customWidth="1"/>
    <col min="13064" max="13064" width="6.85546875" style="279" customWidth="1"/>
    <col min="13065" max="13065" width="11.7109375" style="279" customWidth="1"/>
    <col min="13066" max="13066" width="11.5703125" style="279" customWidth="1"/>
    <col min="13067" max="13067" width="9.140625" style="279"/>
    <col min="13068" max="13068" width="10.5703125" style="279" bestFit="1" customWidth="1"/>
    <col min="13069" max="13069" width="9.140625" style="279"/>
    <col min="13070" max="13070" width="12.140625" style="279" customWidth="1"/>
    <col min="13071" max="13312" width="9.140625" style="279"/>
    <col min="13313" max="13313" width="4" style="279" customWidth="1"/>
    <col min="13314" max="13314" width="10.5703125" style="279" customWidth="1"/>
    <col min="13315" max="13315" width="11.140625" style="279" customWidth="1"/>
    <col min="13316" max="13316" width="8.7109375" style="279" customWidth="1"/>
    <col min="13317" max="13317" width="8" style="279" customWidth="1"/>
    <col min="13318" max="13318" width="10.28515625" style="279" customWidth="1"/>
    <col min="13319" max="13319" width="7.140625" style="279" customWidth="1"/>
    <col min="13320" max="13320" width="6.85546875" style="279" customWidth="1"/>
    <col min="13321" max="13321" width="11.7109375" style="279" customWidth="1"/>
    <col min="13322" max="13322" width="11.5703125" style="279" customWidth="1"/>
    <col min="13323" max="13323" width="9.140625" style="279"/>
    <col min="13324" max="13324" width="10.5703125" style="279" bestFit="1" customWidth="1"/>
    <col min="13325" max="13325" width="9.140625" style="279"/>
    <col min="13326" max="13326" width="12.140625" style="279" customWidth="1"/>
    <col min="13327" max="13568" width="9.140625" style="279"/>
    <col min="13569" max="13569" width="4" style="279" customWidth="1"/>
    <col min="13570" max="13570" width="10.5703125" style="279" customWidth="1"/>
    <col min="13571" max="13571" width="11.140625" style="279" customWidth="1"/>
    <col min="13572" max="13572" width="8.7109375" style="279" customWidth="1"/>
    <col min="13573" max="13573" width="8" style="279" customWidth="1"/>
    <col min="13574" max="13574" width="10.28515625" style="279" customWidth="1"/>
    <col min="13575" max="13575" width="7.140625" style="279" customWidth="1"/>
    <col min="13576" max="13576" width="6.85546875" style="279" customWidth="1"/>
    <col min="13577" max="13577" width="11.7109375" style="279" customWidth="1"/>
    <col min="13578" max="13578" width="11.5703125" style="279" customWidth="1"/>
    <col min="13579" max="13579" width="9.140625" style="279"/>
    <col min="13580" max="13580" width="10.5703125" style="279" bestFit="1" customWidth="1"/>
    <col min="13581" max="13581" width="9.140625" style="279"/>
    <col min="13582" max="13582" width="12.140625" style="279" customWidth="1"/>
    <col min="13583" max="13824" width="9.140625" style="279"/>
    <col min="13825" max="13825" width="4" style="279" customWidth="1"/>
    <col min="13826" max="13826" width="10.5703125" style="279" customWidth="1"/>
    <col min="13827" max="13827" width="11.140625" style="279" customWidth="1"/>
    <col min="13828" max="13828" width="8.7109375" style="279" customWidth="1"/>
    <col min="13829" max="13829" width="8" style="279" customWidth="1"/>
    <col min="13830" max="13830" width="10.28515625" style="279" customWidth="1"/>
    <col min="13831" max="13831" width="7.140625" style="279" customWidth="1"/>
    <col min="13832" max="13832" width="6.85546875" style="279" customWidth="1"/>
    <col min="13833" max="13833" width="11.7109375" style="279" customWidth="1"/>
    <col min="13834" max="13834" width="11.5703125" style="279" customWidth="1"/>
    <col min="13835" max="13835" width="9.140625" style="279"/>
    <col min="13836" max="13836" width="10.5703125" style="279" bestFit="1" customWidth="1"/>
    <col min="13837" max="13837" width="9.140625" style="279"/>
    <col min="13838" max="13838" width="12.140625" style="279" customWidth="1"/>
    <col min="13839" max="14080" width="9.140625" style="279"/>
    <col min="14081" max="14081" width="4" style="279" customWidth="1"/>
    <col min="14082" max="14082" width="10.5703125" style="279" customWidth="1"/>
    <col min="14083" max="14083" width="11.140625" style="279" customWidth="1"/>
    <col min="14084" max="14084" width="8.7109375" style="279" customWidth="1"/>
    <col min="14085" max="14085" width="8" style="279" customWidth="1"/>
    <col min="14086" max="14086" width="10.28515625" style="279" customWidth="1"/>
    <col min="14087" max="14087" width="7.140625" style="279" customWidth="1"/>
    <col min="14088" max="14088" width="6.85546875" style="279" customWidth="1"/>
    <col min="14089" max="14089" width="11.7109375" style="279" customWidth="1"/>
    <col min="14090" max="14090" width="11.5703125" style="279" customWidth="1"/>
    <col min="14091" max="14091" width="9.140625" style="279"/>
    <col min="14092" max="14092" width="10.5703125" style="279" bestFit="1" customWidth="1"/>
    <col min="14093" max="14093" width="9.140625" style="279"/>
    <col min="14094" max="14094" width="12.140625" style="279" customWidth="1"/>
    <col min="14095" max="14336" width="9.140625" style="279"/>
    <col min="14337" max="14337" width="4" style="279" customWidth="1"/>
    <col min="14338" max="14338" width="10.5703125" style="279" customWidth="1"/>
    <col min="14339" max="14339" width="11.140625" style="279" customWidth="1"/>
    <col min="14340" max="14340" width="8.7109375" style="279" customWidth="1"/>
    <col min="14341" max="14341" width="8" style="279" customWidth="1"/>
    <col min="14342" max="14342" width="10.28515625" style="279" customWidth="1"/>
    <col min="14343" max="14343" width="7.140625" style="279" customWidth="1"/>
    <col min="14344" max="14344" width="6.85546875" style="279" customWidth="1"/>
    <col min="14345" max="14345" width="11.7109375" style="279" customWidth="1"/>
    <col min="14346" max="14346" width="11.5703125" style="279" customWidth="1"/>
    <col min="14347" max="14347" width="9.140625" style="279"/>
    <col min="14348" max="14348" width="10.5703125" style="279" bestFit="1" customWidth="1"/>
    <col min="14349" max="14349" width="9.140625" style="279"/>
    <col min="14350" max="14350" width="12.140625" style="279" customWidth="1"/>
    <col min="14351" max="14592" width="9.140625" style="279"/>
    <col min="14593" max="14593" width="4" style="279" customWidth="1"/>
    <col min="14594" max="14594" width="10.5703125" style="279" customWidth="1"/>
    <col min="14595" max="14595" width="11.140625" style="279" customWidth="1"/>
    <col min="14596" max="14596" width="8.7109375" style="279" customWidth="1"/>
    <col min="14597" max="14597" width="8" style="279" customWidth="1"/>
    <col min="14598" max="14598" width="10.28515625" style="279" customWidth="1"/>
    <col min="14599" max="14599" width="7.140625" style="279" customWidth="1"/>
    <col min="14600" max="14600" width="6.85546875" style="279" customWidth="1"/>
    <col min="14601" max="14601" width="11.7109375" style="279" customWidth="1"/>
    <col min="14602" max="14602" width="11.5703125" style="279" customWidth="1"/>
    <col min="14603" max="14603" width="9.140625" style="279"/>
    <col min="14604" max="14604" width="10.5703125" style="279" bestFit="1" customWidth="1"/>
    <col min="14605" max="14605" width="9.140625" style="279"/>
    <col min="14606" max="14606" width="12.140625" style="279" customWidth="1"/>
    <col min="14607" max="14848" width="9.140625" style="279"/>
    <col min="14849" max="14849" width="4" style="279" customWidth="1"/>
    <col min="14850" max="14850" width="10.5703125" style="279" customWidth="1"/>
    <col min="14851" max="14851" width="11.140625" style="279" customWidth="1"/>
    <col min="14852" max="14852" width="8.7109375" style="279" customWidth="1"/>
    <col min="14853" max="14853" width="8" style="279" customWidth="1"/>
    <col min="14854" max="14854" width="10.28515625" style="279" customWidth="1"/>
    <col min="14855" max="14855" width="7.140625" style="279" customWidth="1"/>
    <col min="14856" max="14856" width="6.85546875" style="279" customWidth="1"/>
    <col min="14857" max="14857" width="11.7109375" style="279" customWidth="1"/>
    <col min="14858" max="14858" width="11.5703125" style="279" customWidth="1"/>
    <col min="14859" max="14859" width="9.140625" style="279"/>
    <col min="14860" max="14860" width="10.5703125" style="279" bestFit="1" customWidth="1"/>
    <col min="14861" max="14861" width="9.140625" style="279"/>
    <col min="14862" max="14862" width="12.140625" style="279" customWidth="1"/>
    <col min="14863" max="15104" width="9.140625" style="279"/>
    <col min="15105" max="15105" width="4" style="279" customWidth="1"/>
    <col min="15106" max="15106" width="10.5703125" style="279" customWidth="1"/>
    <col min="15107" max="15107" width="11.140625" style="279" customWidth="1"/>
    <col min="15108" max="15108" width="8.7109375" style="279" customWidth="1"/>
    <col min="15109" max="15109" width="8" style="279" customWidth="1"/>
    <col min="15110" max="15110" width="10.28515625" style="279" customWidth="1"/>
    <col min="15111" max="15111" width="7.140625" style="279" customWidth="1"/>
    <col min="15112" max="15112" width="6.85546875" style="279" customWidth="1"/>
    <col min="15113" max="15113" width="11.7109375" style="279" customWidth="1"/>
    <col min="15114" max="15114" width="11.5703125" style="279" customWidth="1"/>
    <col min="15115" max="15115" width="9.140625" style="279"/>
    <col min="15116" max="15116" width="10.5703125" style="279" bestFit="1" customWidth="1"/>
    <col min="15117" max="15117" width="9.140625" style="279"/>
    <col min="15118" max="15118" width="12.140625" style="279" customWidth="1"/>
    <col min="15119" max="15360" width="9.140625" style="279"/>
    <col min="15361" max="15361" width="4" style="279" customWidth="1"/>
    <col min="15362" max="15362" width="10.5703125" style="279" customWidth="1"/>
    <col min="15363" max="15363" width="11.140625" style="279" customWidth="1"/>
    <col min="15364" max="15364" width="8.7109375" style="279" customWidth="1"/>
    <col min="15365" max="15365" width="8" style="279" customWidth="1"/>
    <col min="15366" max="15366" width="10.28515625" style="279" customWidth="1"/>
    <col min="15367" max="15367" width="7.140625" style="279" customWidth="1"/>
    <col min="15368" max="15368" width="6.85546875" style="279" customWidth="1"/>
    <col min="15369" max="15369" width="11.7109375" style="279" customWidth="1"/>
    <col min="15370" max="15370" width="11.5703125" style="279" customWidth="1"/>
    <col min="15371" max="15371" width="9.140625" style="279"/>
    <col min="15372" max="15372" width="10.5703125" style="279" bestFit="1" customWidth="1"/>
    <col min="15373" max="15373" width="9.140625" style="279"/>
    <col min="15374" max="15374" width="12.140625" style="279" customWidth="1"/>
    <col min="15375" max="15616" width="9.140625" style="279"/>
    <col min="15617" max="15617" width="4" style="279" customWidth="1"/>
    <col min="15618" max="15618" width="10.5703125" style="279" customWidth="1"/>
    <col min="15619" max="15619" width="11.140625" style="279" customWidth="1"/>
    <col min="15620" max="15620" width="8.7109375" style="279" customWidth="1"/>
    <col min="15621" max="15621" width="8" style="279" customWidth="1"/>
    <col min="15622" max="15622" width="10.28515625" style="279" customWidth="1"/>
    <col min="15623" max="15623" width="7.140625" style="279" customWidth="1"/>
    <col min="15624" max="15624" width="6.85546875" style="279" customWidth="1"/>
    <col min="15625" max="15625" width="11.7109375" style="279" customWidth="1"/>
    <col min="15626" max="15626" width="11.5703125" style="279" customWidth="1"/>
    <col min="15627" max="15627" width="9.140625" style="279"/>
    <col min="15628" max="15628" width="10.5703125" style="279" bestFit="1" customWidth="1"/>
    <col min="15629" max="15629" width="9.140625" style="279"/>
    <col min="15630" max="15630" width="12.140625" style="279" customWidth="1"/>
    <col min="15631" max="15872" width="9.140625" style="279"/>
    <col min="15873" max="15873" width="4" style="279" customWidth="1"/>
    <col min="15874" max="15874" width="10.5703125" style="279" customWidth="1"/>
    <col min="15875" max="15875" width="11.140625" style="279" customWidth="1"/>
    <col min="15876" max="15876" width="8.7109375" style="279" customWidth="1"/>
    <col min="15877" max="15877" width="8" style="279" customWidth="1"/>
    <col min="15878" max="15878" width="10.28515625" style="279" customWidth="1"/>
    <col min="15879" max="15879" width="7.140625" style="279" customWidth="1"/>
    <col min="15880" max="15880" width="6.85546875" style="279" customWidth="1"/>
    <col min="15881" max="15881" width="11.7109375" style="279" customWidth="1"/>
    <col min="15882" max="15882" width="11.5703125" style="279" customWidth="1"/>
    <col min="15883" max="15883" width="9.140625" style="279"/>
    <col min="15884" max="15884" width="10.5703125" style="279" bestFit="1" customWidth="1"/>
    <col min="15885" max="15885" width="9.140625" style="279"/>
    <col min="15886" max="15886" width="12.140625" style="279" customWidth="1"/>
    <col min="15887" max="16128" width="9.140625" style="279"/>
    <col min="16129" max="16129" width="4" style="279" customWidth="1"/>
    <col min="16130" max="16130" width="10.5703125" style="279" customWidth="1"/>
    <col min="16131" max="16131" width="11.140625" style="279" customWidth="1"/>
    <col min="16132" max="16132" width="8.7109375" style="279" customWidth="1"/>
    <col min="16133" max="16133" width="8" style="279" customWidth="1"/>
    <col min="16134" max="16134" width="10.28515625" style="279" customWidth="1"/>
    <col min="16135" max="16135" width="7.140625" style="279" customWidth="1"/>
    <col min="16136" max="16136" width="6.85546875" style="279" customWidth="1"/>
    <col min="16137" max="16137" width="11.7109375" style="279" customWidth="1"/>
    <col min="16138" max="16138" width="11.5703125" style="279" customWidth="1"/>
    <col min="16139" max="16139" width="9.140625" style="279"/>
    <col min="16140" max="16140" width="10.5703125" style="279" bestFit="1" customWidth="1"/>
    <col min="16141" max="16141" width="9.140625" style="279"/>
    <col min="16142" max="16142" width="12.140625" style="279" customWidth="1"/>
    <col min="16143" max="16384" width="9.140625" style="279"/>
  </cols>
  <sheetData>
    <row r="1" spans="1:10" x14ac:dyDescent="0.25">
      <c r="A1" s="1201" t="s">
        <v>197</v>
      </c>
      <c r="B1" s="1201"/>
      <c r="C1" s="1201"/>
      <c r="D1" s="1201"/>
      <c r="E1" s="1201"/>
      <c r="F1" s="1201"/>
      <c r="G1" s="1201"/>
      <c r="H1" s="1201"/>
      <c r="I1" s="1201"/>
      <c r="J1" s="1201"/>
    </row>
    <row r="3" spans="1:10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1143"/>
      <c r="J3" s="1143"/>
    </row>
    <row r="4" spans="1:10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1170"/>
      <c r="J4" s="1170"/>
    </row>
    <row r="5" spans="1:10" ht="15" customHeight="1" x14ac:dyDescent="0.25">
      <c r="A5" s="200"/>
      <c r="B5" s="200"/>
      <c r="C5" s="200"/>
      <c r="D5" s="200"/>
      <c r="E5" s="200"/>
      <c r="F5" s="200"/>
      <c r="G5" s="200"/>
      <c r="H5" s="200"/>
      <c r="I5" s="200"/>
      <c r="J5" s="202"/>
    </row>
    <row r="6" spans="1:10" x14ac:dyDescent="0.25">
      <c r="A6" s="1201" t="s">
        <v>858</v>
      </c>
      <c r="B6" s="1201"/>
      <c r="C6" s="1201"/>
      <c r="D6" s="1201"/>
      <c r="E6" s="1201"/>
      <c r="F6" s="1201"/>
      <c r="G6" s="1201"/>
      <c r="H6" s="1201"/>
      <c r="I6" s="1201"/>
      <c r="J6" s="1201"/>
    </row>
    <row r="7" spans="1:10" x14ac:dyDescent="0.25">
      <c r="A7" s="1145" t="s">
        <v>437</v>
      </c>
      <c r="B7" s="1145"/>
      <c r="C7" s="1145"/>
      <c r="D7" s="1145"/>
      <c r="E7" s="1145"/>
      <c r="F7" s="1145"/>
      <c r="G7" s="1145"/>
      <c r="H7" s="1145"/>
      <c r="I7" s="1145"/>
      <c r="J7" s="1145"/>
    </row>
    <row r="8" spans="1:10" ht="24" customHeight="1" x14ac:dyDescent="0.25">
      <c r="A8" s="195" t="s">
        <v>258</v>
      </c>
      <c r="B8" s="733" t="s">
        <v>492</v>
      </c>
      <c r="C8" s="193" t="s">
        <v>343</v>
      </c>
      <c r="D8" s="195" t="s">
        <v>389</v>
      </c>
      <c r="E8" s="195" t="s">
        <v>521</v>
      </c>
      <c r="F8" s="195" t="s">
        <v>522</v>
      </c>
      <c r="G8" s="195" t="s">
        <v>523</v>
      </c>
      <c r="H8" s="195" t="s">
        <v>512</v>
      </c>
      <c r="I8" s="286" t="s">
        <v>467</v>
      </c>
      <c r="J8" s="195" t="s">
        <v>402</v>
      </c>
    </row>
    <row r="9" spans="1:10" x14ac:dyDescent="0.25">
      <c r="A9" s="196">
        <v>1</v>
      </c>
      <c r="B9" s="728">
        <v>2</v>
      </c>
      <c r="C9" s="196">
        <v>3</v>
      </c>
      <c r="D9" s="196">
        <v>4</v>
      </c>
      <c r="E9" s="196">
        <v>5</v>
      </c>
      <c r="F9" s="196">
        <v>6</v>
      </c>
      <c r="G9" s="196">
        <v>7</v>
      </c>
      <c r="H9" s="196">
        <v>8</v>
      </c>
      <c r="I9" s="287">
        <v>9</v>
      </c>
      <c r="J9" s="196">
        <v>10</v>
      </c>
    </row>
    <row r="10" spans="1:10" x14ac:dyDescent="0.25">
      <c r="A10" s="1289">
        <v>1</v>
      </c>
      <c r="B10" s="1291" t="s">
        <v>519</v>
      </c>
      <c r="C10" s="1293"/>
      <c r="D10" s="1295"/>
      <c r="E10" s="259"/>
      <c r="F10" s="268"/>
      <c r="G10" s="265"/>
      <c r="H10" s="265"/>
      <c r="I10" s="1285">
        <f>490100-1500</f>
        <v>488600</v>
      </c>
      <c r="J10" s="1287">
        <f>ROUND(I10/1000,1)</f>
        <v>488.6</v>
      </c>
    </row>
    <row r="11" spans="1:10" x14ac:dyDescent="0.25">
      <c r="A11" s="1290"/>
      <c r="B11" s="1292"/>
      <c r="C11" s="1294"/>
      <c r="D11" s="1296"/>
      <c r="E11" s="259"/>
      <c r="F11" s="268"/>
      <c r="G11" s="265"/>
      <c r="H11" s="265"/>
      <c r="I11" s="1286"/>
      <c r="J11" s="1288"/>
    </row>
    <row r="12" spans="1:10" ht="23.25" customHeight="1" x14ac:dyDescent="0.25">
      <c r="A12" s="1289">
        <v>2</v>
      </c>
      <c r="B12" s="1291" t="s">
        <v>581</v>
      </c>
      <c r="C12" s="1293">
        <v>223</v>
      </c>
      <c r="D12" s="1295" t="s">
        <v>520</v>
      </c>
      <c r="E12" s="493" t="s">
        <v>469</v>
      </c>
      <c r="F12" s="492">
        <v>5000</v>
      </c>
      <c r="G12" s="265">
        <v>52.94</v>
      </c>
      <c r="H12" s="265">
        <f>F12*G12</f>
        <v>264700</v>
      </c>
      <c r="I12" s="1285">
        <f>H12+H13</f>
        <v>491500</v>
      </c>
      <c r="J12" s="1287">
        <f>ROUND(I12/1000,1)</f>
        <v>491.5</v>
      </c>
    </row>
    <row r="13" spans="1:10" ht="23.25" customHeight="1" x14ac:dyDescent="0.25">
      <c r="A13" s="1290"/>
      <c r="B13" s="1292"/>
      <c r="C13" s="1294"/>
      <c r="D13" s="1296"/>
      <c r="E13" s="493" t="s">
        <v>469</v>
      </c>
      <c r="F13" s="492">
        <v>4200</v>
      </c>
      <c r="G13" s="265">
        <v>54</v>
      </c>
      <c r="H13" s="265">
        <f>F13*G13</f>
        <v>226800</v>
      </c>
      <c r="I13" s="1286"/>
      <c r="J13" s="1288"/>
    </row>
    <row r="14" spans="1:10" x14ac:dyDescent="0.25">
      <c r="A14" s="1223" t="s">
        <v>441</v>
      </c>
      <c r="B14" s="1223"/>
      <c r="C14" s="1223"/>
      <c r="D14" s="1223"/>
      <c r="E14" s="1223"/>
      <c r="F14" s="1223"/>
      <c r="G14" s="1223"/>
      <c r="H14" s="1223"/>
      <c r="I14" s="826">
        <f>SUM(I10:I10)</f>
        <v>488600</v>
      </c>
      <c r="J14" s="293">
        <f>SUM(J10:J10)</f>
        <v>488.6</v>
      </c>
    </row>
    <row r="16" spans="1:10" x14ac:dyDescent="0.25">
      <c r="A16" s="1201" t="s">
        <v>859</v>
      </c>
      <c r="B16" s="1201"/>
      <c r="C16" s="1201"/>
      <c r="D16" s="1201"/>
      <c r="E16" s="1201"/>
      <c r="F16" s="1201"/>
      <c r="G16" s="1201"/>
      <c r="H16" s="1201"/>
      <c r="I16" s="1201"/>
      <c r="J16" s="1201"/>
    </row>
    <row r="17" spans="1:11" x14ac:dyDescent="0.25">
      <c r="A17" s="1155" t="s">
        <v>510</v>
      </c>
      <c r="B17" s="1155"/>
      <c r="C17" s="1155"/>
      <c r="D17" s="1155"/>
      <c r="E17" s="1155"/>
      <c r="F17" s="1155"/>
      <c r="G17" s="1155"/>
      <c r="H17" s="1155"/>
      <c r="I17" s="1155"/>
      <c r="J17" s="1155"/>
    </row>
    <row r="18" spans="1:11" ht="24" customHeight="1" x14ac:dyDescent="0.25">
      <c r="A18" s="195" t="s">
        <v>258</v>
      </c>
      <c r="B18" s="949" t="s">
        <v>492</v>
      </c>
      <c r="C18" s="193" t="s">
        <v>343</v>
      </c>
      <c r="D18" s="195" t="s">
        <v>389</v>
      </c>
      <c r="E18" s="195" t="s">
        <v>411</v>
      </c>
      <c r="F18" s="1160" t="s">
        <v>406</v>
      </c>
      <c r="G18" s="1253"/>
      <c r="H18" s="1161"/>
      <c r="I18" s="286" t="s">
        <v>467</v>
      </c>
      <c r="J18" s="195" t="s">
        <v>402</v>
      </c>
    </row>
    <row r="19" spans="1:11" x14ac:dyDescent="0.25">
      <c r="A19" s="196">
        <v>1</v>
      </c>
      <c r="B19" s="728">
        <v>2</v>
      </c>
      <c r="C19" s="196">
        <v>3</v>
      </c>
      <c r="D19" s="196">
        <v>4</v>
      </c>
      <c r="E19" s="196">
        <v>5</v>
      </c>
      <c r="F19" s="1282">
        <v>6</v>
      </c>
      <c r="G19" s="1283"/>
      <c r="H19" s="1284"/>
      <c r="I19" s="287">
        <v>7</v>
      </c>
      <c r="J19" s="196">
        <v>8</v>
      </c>
    </row>
    <row r="20" spans="1:11" ht="24" x14ac:dyDescent="0.25">
      <c r="A20" s="421">
        <v>1</v>
      </c>
      <c r="B20" s="734" t="s">
        <v>857</v>
      </c>
      <c r="C20" s="195">
        <v>225</v>
      </c>
      <c r="D20" s="193">
        <v>770</v>
      </c>
      <c r="E20" s="259">
        <v>1</v>
      </c>
      <c r="F20" s="1173">
        <f>296600-64300</f>
        <v>232300</v>
      </c>
      <c r="G20" s="1281"/>
      <c r="H20" s="1174"/>
      <c r="I20" s="981">
        <f>E20*F20</f>
        <v>232300</v>
      </c>
      <c r="J20" s="982">
        <f>ROUND(I20/1000,1)</f>
        <v>232.3</v>
      </c>
      <c r="K20" s="986" t="s">
        <v>923</v>
      </c>
    </row>
    <row r="21" spans="1:11" x14ac:dyDescent="0.25">
      <c r="A21" s="1223" t="s">
        <v>448</v>
      </c>
      <c r="B21" s="1223"/>
      <c r="C21" s="1223"/>
      <c r="D21" s="1223"/>
      <c r="E21" s="1223"/>
      <c r="F21" s="1223"/>
      <c r="G21" s="1223"/>
      <c r="H21" s="1223"/>
      <c r="I21" s="826">
        <f>SUM(I20:I20)</f>
        <v>232300</v>
      </c>
      <c r="J21" s="293">
        <f>SUM(J20:J20)</f>
        <v>232.3</v>
      </c>
    </row>
    <row r="24" spans="1:11" x14ac:dyDescent="0.25">
      <c r="A24" s="1201" t="s">
        <v>913</v>
      </c>
      <c r="B24" s="1201"/>
      <c r="C24" s="1201"/>
      <c r="D24" s="1201"/>
      <c r="E24" s="1201"/>
      <c r="F24" s="1201"/>
      <c r="G24" s="1201"/>
      <c r="H24" s="1201"/>
      <c r="I24" s="1201"/>
      <c r="J24" s="1201"/>
    </row>
    <row r="25" spans="1:11" x14ac:dyDescent="0.25">
      <c r="A25" s="1155" t="s">
        <v>510</v>
      </c>
      <c r="B25" s="1155"/>
      <c r="C25" s="1155"/>
      <c r="D25" s="1155"/>
      <c r="E25" s="1155"/>
      <c r="F25" s="1155"/>
      <c r="G25" s="1155"/>
      <c r="H25" s="1155"/>
      <c r="I25" s="1155"/>
      <c r="J25" s="1155"/>
    </row>
    <row r="26" spans="1:11" ht="24" x14ac:dyDescent="0.25">
      <c r="A26" s="949" t="s">
        <v>258</v>
      </c>
      <c r="B26" s="949" t="s">
        <v>492</v>
      </c>
      <c r="C26" s="952" t="s">
        <v>343</v>
      </c>
      <c r="D26" s="949" t="s">
        <v>389</v>
      </c>
      <c r="E26" s="949" t="s">
        <v>411</v>
      </c>
      <c r="F26" s="1160" t="s">
        <v>406</v>
      </c>
      <c r="G26" s="1253"/>
      <c r="H26" s="1161"/>
      <c r="I26" s="953" t="s">
        <v>467</v>
      </c>
      <c r="J26" s="949" t="s">
        <v>402</v>
      </c>
    </row>
    <row r="27" spans="1:11" x14ac:dyDescent="0.25">
      <c r="A27" s="951">
        <v>1</v>
      </c>
      <c r="B27" s="951">
        <v>2</v>
      </c>
      <c r="C27" s="951">
        <v>3</v>
      </c>
      <c r="D27" s="951">
        <v>4</v>
      </c>
      <c r="E27" s="951">
        <v>5</v>
      </c>
      <c r="F27" s="1282">
        <v>6</v>
      </c>
      <c r="G27" s="1283"/>
      <c r="H27" s="1284"/>
      <c r="I27" s="954">
        <v>7</v>
      </c>
      <c r="J27" s="951">
        <v>8</v>
      </c>
    </row>
    <row r="28" spans="1:11" ht="24" x14ac:dyDescent="0.25">
      <c r="A28" s="957">
        <v>1</v>
      </c>
      <c r="B28" s="950" t="s">
        <v>906</v>
      </c>
      <c r="C28" s="949">
        <v>225</v>
      </c>
      <c r="D28" s="952">
        <v>770</v>
      </c>
      <c r="E28" s="762">
        <v>1</v>
      </c>
      <c r="F28" s="1173">
        <v>10500</v>
      </c>
      <c r="G28" s="1281"/>
      <c r="H28" s="1174"/>
      <c r="I28" s="955">
        <f>E28*F28</f>
        <v>10500</v>
      </c>
      <c r="J28" s="956">
        <f>ROUND(I28/1000,1)</f>
        <v>10.5</v>
      </c>
    </row>
    <row r="29" spans="1:11" x14ac:dyDescent="0.25">
      <c r="A29" s="1223" t="s">
        <v>448</v>
      </c>
      <c r="B29" s="1223"/>
      <c r="C29" s="1223"/>
      <c r="D29" s="1223"/>
      <c r="E29" s="1223"/>
      <c r="F29" s="1223"/>
      <c r="G29" s="1223"/>
      <c r="H29" s="1223"/>
      <c r="I29" s="826">
        <f>SUM(I28:I28)</f>
        <v>10500</v>
      </c>
      <c r="J29" s="293">
        <f>SUM(J28:J28)</f>
        <v>10.5</v>
      </c>
    </row>
    <row r="32" spans="1:11" x14ac:dyDescent="0.25">
      <c r="A32" s="1033" t="s">
        <v>921</v>
      </c>
      <c r="B32" s="1033"/>
      <c r="C32" s="1033"/>
      <c r="D32" s="1033"/>
      <c r="E32" s="1033"/>
      <c r="F32" s="1033"/>
      <c r="G32" s="1033"/>
      <c r="H32" s="1033"/>
      <c r="I32" s="1033"/>
      <c r="J32" s="1033"/>
    </row>
    <row r="33" spans="1:15" x14ac:dyDescent="0.25">
      <c r="A33" s="1024" t="s">
        <v>510</v>
      </c>
      <c r="B33" s="1024"/>
      <c r="C33" s="1024"/>
      <c r="D33" s="1024"/>
      <c r="E33" s="1024"/>
      <c r="F33" s="1024"/>
      <c r="G33" s="1024"/>
      <c r="H33" s="1024"/>
      <c r="I33" s="1024"/>
      <c r="J33" s="1024"/>
    </row>
    <row r="34" spans="1:15" ht="24" x14ac:dyDescent="0.25">
      <c r="A34" s="1025" t="s">
        <v>258</v>
      </c>
      <c r="B34" s="1025" t="s">
        <v>492</v>
      </c>
      <c r="C34" s="1032" t="s">
        <v>343</v>
      </c>
      <c r="D34" s="1025" t="s">
        <v>389</v>
      </c>
      <c r="E34" s="1025" t="s">
        <v>411</v>
      </c>
      <c r="F34" s="1026" t="s">
        <v>406</v>
      </c>
      <c r="G34" s="1035"/>
      <c r="H34" s="1027"/>
      <c r="I34" s="1035" t="s">
        <v>467</v>
      </c>
      <c r="J34" s="1025" t="s">
        <v>402</v>
      </c>
    </row>
    <row r="35" spans="1:15" x14ac:dyDescent="0.25">
      <c r="A35" s="1029">
        <v>1</v>
      </c>
      <c r="B35" s="1029">
        <v>2</v>
      </c>
      <c r="C35" s="1029">
        <v>3</v>
      </c>
      <c r="D35" s="1029">
        <v>4</v>
      </c>
      <c r="E35" s="1029">
        <v>5</v>
      </c>
      <c r="F35" s="1037">
        <v>6</v>
      </c>
      <c r="G35" s="1038"/>
      <c r="H35" s="1039"/>
      <c r="I35" s="1038">
        <v>7</v>
      </c>
      <c r="J35" s="1029">
        <v>8</v>
      </c>
    </row>
    <row r="36" spans="1:15" ht="36" x14ac:dyDescent="0.25">
      <c r="A36" s="1040">
        <v>1</v>
      </c>
      <c r="B36" s="1028" t="s">
        <v>922</v>
      </c>
      <c r="C36" s="1025">
        <v>225</v>
      </c>
      <c r="D36" s="1032">
        <v>770</v>
      </c>
      <c r="E36" s="762">
        <v>1</v>
      </c>
      <c r="F36" s="1030">
        <v>31150</v>
      </c>
      <c r="G36" s="1036"/>
      <c r="H36" s="1031"/>
      <c r="I36" s="981">
        <f>E36*F36</f>
        <v>31150</v>
      </c>
      <c r="J36" s="982">
        <f>ROUND(I36/1000,1)</f>
        <v>31.2</v>
      </c>
      <c r="K36" s="985"/>
    </row>
    <row r="37" spans="1:15" x14ac:dyDescent="0.25">
      <c r="A37" s="1034" t="s">
        <v>448</v>
      </c>
      <c r="B37" s="1034"/>
      <c r="C37" s="1034"/>
      <c r="D37" s="1034"/>
      <c r="E37" s="1034"/>
      <c r="F37" s="1034"/>
      <c r="G37" s="1034"/>
      <c r="H37" s="1034"/>
      <c r="I37" s="826">
        <f>SUM(I36:I36)</f>
        <v>31150</v>
      </c>
      <c r="J37" s="293">
        <f>SUM(J36:J36)</f>
        <v>31.2</v>
      </c>
    </row>
    <row r="38" spans="1:15" x14ac:dyDescent="0.25">
      <c r="A38" s="785"/>
      <c r="B38" s="785"/>
      <c r="C38" s="785"/>
      <c r="D38" s="785"/>
      <c r="E38" s="785"/>
      <c r="F38" s="785"/>
      <c r="G38" s="785"/>
      <c r="H38" s="785"/>
      <c r="I38" s="1044"/>
      <c r="J38" s="1045"/>
    </row>
    <row r="39" spans="1:15" x14ac:dyDescent="0.25">
      <c r="A39" s="785"/>
      <c r="B39" s="785"/>
      <c r="C39" s="785"/>
      <c r="D39" s="785"/>
      <c r="E39" s="785"/>
      <c r="F39" s="785"/>
      <c r="G39" s="785"/>
      <c r="H39" s="785"/>
      <c r="I39" s="1044"/>
      <c r="J39" s="1045"/>
    </row>
    <row r="40" spans="1:15" x14ac:dyDescent="0.25">
      <c r="A40" s="1033" t="s">
        <v>941</v>
      </c>
      <c r="B40" s="1033"/>
      <c r="C40" s="1033"/>
      <c r="D40" s="1033"/>
      <c r="E40" s="1033"/>
      <c r="F40" s="1033"/>
      <c r="G40" s="1033"/>
      <c r="H40" s="1033"/>
      <c r="I40" s="1033"/>
      <c r="J40" s="1033"/>
    </row>
    <row r="41" spans="1:15" x14ac:dyDescent="0.25">
      <c r="A41" s="1024" t="s">
        <v>510</v>
      </c>
      <c r="B41" s="1024"/>
      <c r="C41" s="1024"/>
      <c r="D41" s="1024"/>
      <c r="E41" s="1024"/>
      <c r="F41" s="1024"/>
      <c r="G41" s="1024"/>
      <c r="H41" s="1024"/>
      <c r="I41" s="1024"/>
      <c r="J41" s="1024"/>
    </row>
    <row r="42" spans="1:15" ht="24" x14ac:dyDescent="0.25">
      <c r="A42" s="1025" t="s">
        <v>258</v>
      </c>
      <c r="B42" s="1025" t="s">
        <v>492</v>
      </c>
      <c r="C42" s="1032" t="s">
        <v>343</v>
      </c>
      <c r="D42" s="1025" t="s">
        <v>389</v>
      </c>
      <c r="E42" s="1025" t="s">
        <v>411</v>
      </c>
      <c r="F42" s="1026" t="s">
        <v>406</v>
      </c>
      <c r="G42" s="1035"/>
      <c r="H42" s="1027"/>
      <c r="I42" s="1035" t="s">
        <v>467</v>
      </c>
      <c r="J42" s="1025" t="s">
        <v>402</v>
      </c>
    </row>
    <row r="43" spans="1:15" x14ac:dyDescent="0.25">
      <c r="A43" s="1029">
        <v>1</v>
      </c>
      <c r="B43" s="1029">
        <v>2</v>
      </c>
      <c r="C43" s="1029">
        <v>3</v>
      </c>
      <c r="D43" s="1029">
        <v>4</v>
      </c>
      <c r="E43" s="1029">
        <v>5</v>
      </c>
      <c r="F43" s="1037">
        <v>6</v>
      </c>
      <c r="G43" s="1038"/>
      <c r="H43" s="1039"/>
      <c r="I43" s="1038">
        <v>7</v>
      </c>
      <c r="J43" s="1029">
        <v>8</v>
      </c>
    </row>
    <row r="44" spans="1:15" ht="24" x14ac:dyDescent="0.25">
      <c r="A44" s="1040">
        <v>1</v>
      </c>
      <c r="B44" s="1028" t="s">
        <v>942</v>
      </c>
      <c r="C44" s="1025">
        <v>225</v>
      </c>
      <c r="D44" s="1032">
        <v>770</v>
      </c>
      <c r="E44" s="762">
        <v>1</v>
      </c>
      <c r="F44" s="1030">
        <v>29400</v>
      </c>
      <c r="G44" s="1036"/>
      <c r="H44" s="1031"/>
      <c r="I44" s="981">
        <f>E44*F44</f>
        <v>29400</v>
      </c>
      <c r="J44" s="982">
        <f>ROUND(I44/1000,1)</f>
        <v>29.4</v>
      </c>
      <c r="K44" s="985" t="s">
        <v>924</v>
      </c>
      <c r="L44" s="508">
        <v>29.4</v>
      </c>
    </row>
    <row r="45" spans="1:15" x14ac:dyDescent="0.25">
      <c r="A45" s="1034" t="s">
        <v>448</v>
      </c>
      <c r="B45" s="1034"/>
      <c r="C45" s="1034"/>
      <c r="D45" s="1034"/>
      <c r="E45" s="1034"/>
      <c r="F45" s="1034"/>
      <c r="G45" s="1034"/>
      <c r="H45" s="1034"/>
      <c r="I45" s="826">
        <f>SUM(I44:I44)</f>
        <v>29400</v>
      </c>
      <c r="J45" s="293">
        <f>SUM(J44:J44)</f>
        <v>29.4</v>
      </c>
    </row>
    <row r="46" spans="1:15" x14ac:dyDescent="0.25">
      <c r="A46" s="785"/>
      <c r="B46" s="785"/>
      <c r="C46" s="785"/>
      <c r="D46" s="785"/>
      <c r="E46" s="785"/>
      <c r="F46" s="785"/>
      <c r="G46" s="785"/>
      <c r="H46" s="785"/>
      <c r="I46" s="1044"/>
      <c r="J46" s="1045"/>
    </row>
    <row r="47" spans="1:15" x14ac:dyDescent="0.25">
      <c r="A47" s="785"/>
      <c r="B47" s="785"/>
      <c r="C47" s="785"/>
      <c r="D47" s="785"/>
      <c r="E47" s="785"/>
      <c r="F47" s="785"/>
      <c r="G47" s="785"/>
      <c r="H47" s="785"/>
      <c r="I47" s="1044"/>
      <c r="J47" s="1045"/>
    </row>
    <row r="48" spans="1:15" s="145" customFormat="1" x14ac:dyDescent="0.25">
      <c r="B48" s="279"/>
      <c r="C48" s="1023"/>
      <c r="D48" s="168"/>
      <c r="E48" s="1151"/>
      <c r="F48" s="1151"/>
      <c r="G48" s="168"/>
      <c r="H48" s="1151" t="str">
        <f>рВДЛ!G32</f>
        <v>М.В. Златова</v>
      </c>
      <c r="I48" s="1151"/>
      <c r="L48" s="146"/>
      <c r="M48" s="146"/>
      <c r="N48" s="146"/>
      <c r="O48" s="146"/>
    </row>
    <row r="49" spans="2:9" s="145" customFormat="1" x14ac:dyDescent="0.25">
      <c r="B49" s="279"/>
      <c r="C49" s="1022"/>
      <c r="D49" s="169"/>
      <c r="E49" s="1148" t="s">
        <v>330</v>
      </c>
      <c r="F49" s="1148"/>
      <c r="G49" s="169"/>
      <c r="H49" s="1148" t="s">
        <v>331</v>
      </c>
      <c r="I49" s="1148"/>
    </row>
    <row r="50" spans="2:9" s="145" customFormat="1" x14ac:dyDescent="0.25">
      <c r="B50" s="1023" t="s">
        <v>397</v>
      </c>
      <c r="C50" s="1023"/>
      <c r="D50" s="168"/>
      <c r="E50" s="1151"/>
      <c r="F50" s="1151"/>
      <c r="G50" s="168"/>
      <c r="H50" s="1151" t="str">
        <f>рВДЛ!G34</f>
        <v>Е.Н. Рыбалка</v>
      </c>
      <c r="I50" s="1151"/>
    </row>
    <row r="51" spans="2:9" s="145" customFormat="1" x14ac:dyDescent="0.25">
      <c r="B51" s="1022" t="s">
        <v>329</v>
      </c>
      <c r="C51" s="1022"/>
      <c r="D51" s="169"/>
      <c r="E51" s="1148" t="s">
        <v>330</v>
      </c>
      <c r="F51" s="1148"/>
      <c r="G51" s="169"/>
      <c r="H51" s="1148" t="s">
        <v>331</v>
      </c>
      <c r="I51" s="1148"/>
    </row>
    <row r="52" spans="2:9" x14ac:dyDescent="0.25">
      <c r="B52" s="1023" t="str">
        <f>рВДЛ!A34</f>
        <v>Исполнитель: финансист</v>
      </c>
    </row>
    <row r="53" spans="2:9" x14ac:dyDescent="0.25">
      <c r="B53" s="1022" t="s">
        <v>329</v>
      </c>
    </row>
  </sheetData>
  <mergeCells count="38">
    <mergeCell ref="E51:F51"/>
    <mergeCell ref="H51:I51"/>
    <mergeCell ref="H49:I49"/>
    <mergeCell ref="E50:F50"/>
    <mergeCell ref="H50:I50"/>
    <mergeCell ref="E49:F49"/>
    <mergeCell ref="E48:F48"/>
    <mergeCell ref="H48:I48"/>
    <mergeCell ref="A24:J24"/>
    <mergeCell ref="A25:J25"/>
    <mergeCell ref="F26:H26"/>
    <mergeCell ref="F28:H28"/>
    <mergeCell ref="A29:H29"/>
    <mergeCell ref="D12:D13"/>
    <mergeCell ref="F27:H27"/>
    <mergeCell ref="A10:A11"/>
    <mergeCell ref="I10:I11"/>
    <mergeCell ref="D10:D11"/>
    <mergeCell ref="C10:C11"/>
    <mergeCell ref="B10:B11"/>
    <mergeCell ref="A14:H14"/>
    <mergeCell ref="A17:J17"/>
    <mergeCell ref="A1:J1"/>
    <mergeCell ref="A3:J3"/>
    <mergeCell ref="A4:J4"/>
    <mergeCell ref="F20:H20"/>
    <mergeCell ref="A21:H21"/>
    <mergeCell ref="F18:H18"/>
    <mergeCell ref="F19:H19"/>
    <mergeCell ref="A6:J6"/>
    <mergeCell ref="A7:J7"/>
    <mergeCell ref="I12:I13"/>
    <mergeCell ref="J12:J13"/>
    <mergeCell ref="J10:J11"/>
    <mergeCell ref="A16:J16"/>
    <mergeCell ref="A12:A13"/>
    <mergeCell ref="B12:B13"/>
    <mergeCell ref="C12:C13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topLeftCell="A40" workbookViewId="0">
      <selection activeCell="A47" sqref="A47:H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6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549</v>
      </c>
      <c r="B12" s="1201"/>
      <c r="C12" s="1201"/>
      <c r="D12" s="1201"/>
      <c r="E12" s="1201"/>
      <c r="F12" s="1201"/>
      <c r="G12" s="1201"/>
      <c r="H12" s="1201"/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68"/>
    </row>
    <row r="16" spans="1:9" x14ac:dyDescent="0.25">
      <c r="A16" s="564" t="s">
        <v>640</v>
      </c>
      <c r="B16" s="848" t="s">
        <v>189</v>
      </c>
      <c r="C16" s="848" t="s">
        <v>189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100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853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69"/>
    </row>
    <row r="38" spans="1:9" x14ac:dyDescent="0.25">
      <c r="A38" s="567" t="s">
        <v>361</v>
      </c>
      <c r="B38" s="852"/>
      <c r="C38" s="852"/>
      <c r="D38" s="852"/>
      <c r="E38" s="428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 t="s">
        <v>189</v>
      </c>
      <c r="C44" s="857" t="s">
        <v>189</v>
      </c>
      <c r="D44" s="857" t="s">
        <v>485</v>
      </c>
      <c r="E44" s="857" t="s">
        <v>638</v>
      </c>
      <c r="F44" s="558">
        <v>240</v>
      </c>
      <c r="G44" s="558"/>
      <c r="H44" s="858">
        <f>H45</f>
        <v>100</v>
      </c>
    </row>
    <row r="45" spans="1:9" ht="24" x14ac:dyDescent="0.25">
      <c r="A45" s="891" t="s">
        <v>639</v>
      </c>
      <c r="B45" s="581" t="s">
        <v>189</v>
      </c>
      <c r="C45" s="581" t="s">
        <v>189</v>
      </c>
      <c r="D45" s="581" t="s">
        <v>485</v>
      </c>
      <c r="E45" s="581" t="s">
        <v>638</v>
      </c>
      <c r="F45" s="563">
        <v>244</v>
      </c>
      <c r="G45" s="563"/>
      <c r="H45" s="580">
        <f>рРитуал!H11</f>
        <v>100</v>
      </c>
      <c r="I45" s="638">
        <f>48700+51300</f>
        <v>100000</v>
      </c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1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189</v>
      </c>
      <c r="C65" s="848" t="s">
        <v>189</v>
      </c>
      <c r="D65" s="848" t="s">
        <v>200</v>
      </c>
      <c r="E65" s="848" t="s">
        <v>139</v>
      </c>
      <c r="F65" s="563"/>
      <c r="G65" s="563"/>
      <c r="H65" s="850">
        <f>рРитуал!H9</f>
        <v>48.7</v>
      </c>
    </row>
    <row r="66" spans="1:9" x14ac:dyDescent="0.25">
      <c r="A66" s="569" t="s">
        <v>487</v>
      </c>
      <c r="B66" s="848" t="s">
        <v>189</v>
      </c>
      <c r="C66" s="848" t="s">
        <v>189</v>
      </c>
      <c r="D66" s="892" t="s">
        <v>668</v>
      </c>
      <c r="E66" s="848" t="s">
        <v>139</v>
      </c>
      <c r="F66" s="563"/>
      <c r="G66" s="563"/>
      <c r="H66" s="850">
        <f>рРитуал!H10</f>
        <v>51.3</v>
      </c>
    </row>
    <row r="67" spans="1:9" x14ac:dyDescent="0.25">
      <c r="A67" s="571" t="s">
        <v>377</v>
      </c>
      <c r="B67" s="848" t="s">
        <v>189</v>
      </c>
      <c r="C67" s="848" t="s">
        <v>189</v>
      </c>
      <c r="D67" s="848" t="s">
        <v>485</v>
      </c>
      <c r="E67" s="848" t="s">
        <v>345</v>
      </c>
      <c r="F67" s="570"/>
      <c r="G67" s="570"/>
      <c r="H67" s="850">
        <f>H59+H16</f>
        <v>100</v>
      </c>
      <c r="I67" s="638">
        <f>SUM(I16:I64)</f>
        <v>100000</v>
      </c>
    </row>
    <row r="68" spans="1:9" x14ac:dyDescent="0.25">
      <c r="A68" s="862"/>
      <c r="B68" s="863"/>
      <c r="C68" s="863"/>
      <c r="D68" s="863"/>
      <c r="E68" s="863"/>
      <c r="F68" s="863"/>
      <c r="G68" s="863"/>
      <c r="H68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7"/>
  <sheetViews>
    <sheetView workbookViewId="0">
      <selection activeCell="L10" sqref="L10"/>
    </sheetView>
  </sheetViews>
  <sheetFormatPr defaultRowHeight="15" x14ac:dyDescent="0.25"/>
  <cols>
    <col min="1" max="1" width="4" style="279" customWidth="1"/>
    <col min="2" max="2" width="27.85546875" style="279" customWidth="1"/>
    <col min="3" max="4" width="6.5703125" style="279" customWidth="1"/>
    <col min="5" max="5" width="12.42578125" style="279" customWidth="1"/>
    <col min="6" max="6" width="12.7109375" style="279" customWidth="1"/>
    <col min="7" max="7" width="11.7109375" style="279" customWidth="1"/>
    <col min="8" max="8" width="11.5703125" style="279" customWidth="1"/>
    <col min="9" max="9" width="12.5703125" style="279" customWidth="1"/>
    <col min="10" max="10" width="10.5703125" style="279" bestFit="1" customWidth="1"/>
    <col min="11" max="11" width="9.140625" style="279"/>
    <col min="12" max="12" width="12.140625" style="279" customWidth="1"/>
    <col min="13" max="254" width="9.140625" style="279"/>
    <col min="255" max="255" width="4" style="279" customWidth="1"/>
    <col min="256" max="256" width="10.5703125" style="279" customWidth="1"/>
    <col min="257" max="257" width="11.140625" style="279" customWidth="1"/>
    <col min="258" max="258" width="8.7109375" style="279" customWidth="1"/>
    <col min="259" max="259" width="8" style="279" customWidth="1"/>
    <col min="260" max="260" width="10.28515625" style="279" customWidth="1"/>
    <col min="261" max="261" width="7.140625" style="279" customWidth="1"/>
    <col min="262" max="262" width="6.85546875" style="279" customWidth="1"/>
    <col min="263" max="263" width="11.7109375" style="279" customWidth="1"/>
    <col min="264" max="264" width="11.5703125" style="279" customWidth="1"/>
    <col min="265" max="265" width="9.140625" style="279"/>
    <col min="266" max="266" width="10.5703125" style="279" bestFit="1" customWidth="1"/>
    <col min="267" max="267" width="9.140625" style="279"/>
    <col min="268" max="268" width="12.140625" style="279" customWidth="1"/>
    <col min="269" max="510" width="9.140625" style="279"/>
    <col min="511" max="511" width="4" style="279" customWidth="1"/>
    <col min="512" max="512" width="10.5703125" style="279" customWidth="1"/>
    <col min="513" max="513" width="11.140625" style="279" customWidth="1"/>
    <col min="514" max="514" width="8.7109375" style="279" customWidth="1"/>
    <col min="515" max="515" width="8" style="279" customWidth="1"/>
    <col min="516" max="516" width="10.28515625" style="279" customWidth="1"/>
    <col min="517" max="517" width="7.140625" style="279" customWidth="1"/>
    <col min="518" max="518" width="6.85546875" style="279" customWidth="1"/>
    <col min="519" max="519" width="11.7109375" style="279" customWidth="1"/>
    <col min="520" max="520" width="11.5703125" style="279" customWidth="1"/>
    <col min="521" max="521" width="9.140625" style="279"/>
    <col min="522" max="522" width="10.5703125" style="279" bestFit="1" customWidth="1"/>
    <col min="523" max="523" width="9.140625" style="279"/>
    <col min="524" max="524" width="12.140625" style="279" customWidth="1"/>
    <col min="525" max="766" width="9.140625" style="279"/>
    <col min="767" max="767" width="4" style="279" customWidth="1"/>
    <col min="768" max="768" width="10.5703125" style="279" customWidth="1"/>
    <col min="769" max="769" width="11.140625" style="279" customWidth="1"/>
    <col min="770" max="770" width="8.7109375" style="279" customWidth="1"/>
    <col min="771" max="771" width="8" style="279" customWidth="1"/>
    <col min="772" max="772" width="10.28515625" style="279" customWidth="1"/>
    <col min="773" max="773" width="7.140625" style="279" customWidth="1"/>
    <col min="774" max="774" width="6.85546875" style="279" customWidth="1"/>
    <col min="775" max="775" width="11.7109375" style="279" customWidth="1"/>
    <col min="776" max="776" width="11.5703125" style="279" customWidth="1"/>
    <col min="777" max="777" width="9.140625" style="279"/>
    <col min="778" max="778" width="10.5703125" style="279" bestFit="1" customWidth="1"/>
    <col min="779" max="779" width="9.140625" style="279"/>
    <col min="780" max="780" width="12.140625" style="279" customWidth="1"/>
    <col min="781" max="1022" width="9.140625" style="279"/>
    <col min="1023" max="1023" width="4" style="279" customWidth="1"/>
    <col min="1024" max="1024" width="10.5703125" style="279" customWidth="1"/>
    <col min="1025" max="1025" width="11.140625" style="279" customWidth="1"/>
    <col min="1026" max="1026" width="8.7109375" style="279" customWidth="1"/>
    <col min="1027" max="1027" width="8" style="279" customWidth="1"/>
    <col min="1028" max="1028" width="10.28515625" style="279" customWidth="1"/>
    <col min="1029" max="1029" width="7.140625" style="279" customWidth="1"/>
    <col min="1030" max="1030" width="6.85546875" style="279" customWidth="1"/>
    <col min="1031" max="1031" width="11.7109375" style="279" customWidth="1"/>
    <col min="1032" max="1032" width="11.5703125" style="279" customWidth="1"/>
    <col min="1033" max="1033" width="9.140625" style="279"/>
    <col min="1034" max="1034" width="10.5703125" style="279" bestFit="1" customWidth="1"/>
    <col min="1035" max="1035" width="9.140625" style="279"/>
    <col min="1036" max="1036" width="12.140625" style="279" customWidth="1"/>
    <col min="1037" max="1278" width="9.140625" style="279"/>
    <col min="1279" max="1279" width="4" style="279" customWidth="1"/>
    <col min="1280" max="1280" width="10.5703125" style="279" customWidth="1"/>
    <col min="1281" max="1281" width="11.140625" style="279" customWidth="1"/>
    <col min="1282" max="1282" width="8.7109375" style="279" customWidth="1"/>
    <col min="1283" max="1283" width="8" style="279" customWidth="1"/>
    <col min="1284" max="1284" width="10.28515625" style="279" customWidth="1"/>
    <col min="1285" max="1285" width="7.140625" style="279" customWidth="1"/>
    <col min="1286" max="1286" width="6.85546875" style="279" customWidth="1"/>
    <col min="1287" max="1287" width="11.7109375" style="279" customWidth="1"/>
    <col min="1288" max="1288" width="11.5703125" style="279" customWidth="1"/>
    <col min="1289" max="1289" width="9.140625" style="279"/>
    <col min="1290" max="1290" width="10.5703125" style="279" bestFit="1" customWidth="1"/>
    <col min="1291" max="1291" width="9.140625" style="279"/>
    <col min="1292" max="1292" width="12.140625" style="279" customWidth="1"/>
    <col min="1293" max="1534" width="9.140625" style="279"/>
    <col min="1535" max="1535" width="4" style="279" customWidth="1"/>
    <col min="1536" max="1536" width="10.5703125" style="279" customWidth="1"/>
    <col min="1537" max="1537" width="11.140625" style="279" customWidth="1"/>
    <col min="1538" max="1538" width="8.7109375" style="279" customWidth="1"/>
    <col min="1539" max="1539" width="8" style="279" customWidth="1"/>
    <col min="1540" max="1540" width="10.28515625" style="279" customWidth="1"/>
    <col min="1541" max="1541" width="7.140625" style="279" customWidth="1"/>
    <col min="1542" max="1542" width="6.85546875" style="279" customWidth="1"/>
    <col min="1543" max="1543" width="11.7109375" style="279" customWidth="1"/>
    <col min="1544" max="1544" width="11.5703125" style="279" customWidth="1"/>
    <col min="1545" max="1545" width="9.140625" style="279"/>
    <col min="1546" max="1546" width="10.5703125" style="279" bestFit="1" customWidth="1"/>
    <col min="1547" max="1547" width="9.140625" style="279"/>
    <col min="1548" max="1548" width="12.140625" style="279" customWidth="1"/>
    <col min="1549" max="1790" width="9.140625" style="279"/>
    <col min="1791" max="1791" width="4" style="279" customWidth="1"/>
    <col min="1792" max="1792" width="10.5703125" style="279" customWidth="1"/>
    <col min="1793" max="1793" width="11.140625" style="279" customWidth="1"/>
    <col min="1794" max="1794" width="8.7109375" style="279" customWidth="1"/>
    <col min="1795" max="1795" width="8" style="279" customWidth="1"/>
    <col min="1796" max="1796" width="10.28515625" style="279" customWidth="1"/>
    <col min="1797" max="1797" width="7.140625" style="279" customWidth="1"/>
    <col min="1798" max="1798" width="6.85546875" style="279" customWidth="1"/>
    <col min="1799" max="1799" width="11.7109375" style="279" customWidth="1"/>
    <col min="1800" max="1800" width="11.5703125" style="279" customWidth="1"/>
    <col min="1801" max="1801" width="9.140625" style="279"/>
    <col min="1802" max="1802" width="10.5703125" style="279" bestFit="1" customWidth="1"/>
    <col min="1803" max="1803" width="9.140625" style="279"/>
    <col min="1804" max="1804" width="12.140625" style="279" customWidth="1"/>
    <col min="1805" max="2046" width="9.140625" style="279"/>
    <col min="2047" max="2047" width="4" style="279" customWidth="1"/>
    <col min="2048" max="2048" width="10.5703125" style="279" customWidth="1"/>
    <col min="2049" max="2049" width="11.140625" style="279" customWidth="1"/>
    <col min="2050" max="2050" width="8.7109375" style="279" customWidth="1"/>
    <col min="2051" max="2051" width="8" style="279" customWidth="1"/>
    <col min="2052" max="2052" width="10.28515625" style="279" customWidth="1"/>
    <col min="2053" max="2053" width="7.140625" style="279" customWidth="1"/>
    <col min="2054" max="2054" width="6.85546875" style="279" customWidth="1"/>
    <col min="2055" max="2055" width="11.7109375" style="279" customWidth="1"/>
    <col min="2056" max="2056" width="11.5703125" style="279" customWidth="1"/>
    <col min="2057" max="2057" width="9.140625" style="279"/>
    <col min="2058" max="2058" width="10.5703125" style="279" bestFit="1" customWidth="1"/>
    <col min="2059" max="2059" width="9.140625" style="279"/>
    <col min="2060" max="2060" width="12.140625" style="279" customWidth="1"/>
    <col min="2061" max="2302" width="9.140625" style="279"/>
    <col min="2303" max="2303" width="4" style="279" customWidth="1"/>
    <col min="2304" max="2304" width="10.5703125" style="279" customWidth="1"/>
    <col min="2305" max="2305" width="11.140625" style="279" customWidth="1"/>
    <col min="2306" max="2306" width="8.7109375" style="279" customWidth="1"/>
    <col min="2307" max="2307" width="8" style="279" customWidth="1"/>
    <col min="2308" max="2308" width="10.28515625" style="279" customWidth="1"/>
    <col min="2309" max="2309" width="7.140625" style="279" customWidth="1"/>
    <col min="2310" max="2310" width="6.85546875" style="279" customWidth="1"/>
    <col min="2311" max="2311" width="11.7109375" style="279" customWidth="1"/>
    <col min="2312" max="2312" width="11.5703125" style="279" customWidth="1"/>
    <col min="2313" max="2313" width="9.140625" style="279"/>
    <col min="2314" max="2314" width="10.5703125" style="279" bestFit="1" customWidth="1"/>
    <col min="2315" max="2315" width="9.140625" style="279"/>
    <col min="2316" max="2316" width="12.140625" style="279" customWidth="1"/>
    <col min="2317" max="2558" width="9.140625" style="279"/>
    <col min="2559" max="2559" width="4" style="279" customWidth="1"/>
    <col min="2560" max="2560" width="10.5703125" style="279" customWidth="1"/>
    <col min="2561" max="2561" width="11.140625" style="279" customWidth="1"/>
    <col min="2562" max="2562" width="8.7109375" style="279" customWidth="1"/>
    <col min="2563" max="2563" width="8" style="279" customWidth="1"/>
    <col min="2564" max="2564" width="10.28515625" style="279" customWidth="1"/>
    <col min="2565" max="2565" width="7.140625" style="279" customWidth="1"/>
    <col min="2566" max="2566" width="6.85546875" style="279" customWidth="1"/>
    <col min="2567" max="2567" width="11.7109375" style="279" customWidth="1"/>
    <col min="2568" max="2568" width="11.5703125" style="279" customWidth="1"/>
    <col min="2569" max="2569" width="9.140625" style="279"/>
    <col min="2570" max="2570" width="10.5703125" style="279" bestFit="1" customWidth="1"/>
    <col min="2571" max="2571" width="9.140625" style="279"/>
    <col min="2572" max="2572" width="12.140625" style="279" customWidth="1"/>
    <col min="2573" max="2814" width="9.140625" style="279"/>
    <col min="2815" max="2815" width="4" style="279" customWidth="1"/>
    <col min="2816" max="2816" width="10.5703125" style="279" customWidth="1"/>
    <col min="2817" max="2817" width="11.140625" style="279" customWidth="1"/>
    <col min="2818" max="2818" width="8.7109375" style="279" customWidth="1"/>
    <col min="2819" max="2819" width="8" style="279" customWidth="1"/>
    <col min="2820" max="2820" width="10.28515625" style="279" customWidth="1"/>
    <col min="2821" max="2821" width="7.140625" style="279" customWidth="1"/>
    <col min="2822" max="2822" width="6.85546875" style="279" customWidth="1"/>
    <col min="2823" max="2823" width="11.7109375" style="279" customWidth="1"/>
    <col min="2824" max="2824" width="11.5703125" style="279" customWidth="1"/>
    <col min="2825" max="2825" width="9.140625" style="279"/>
    <col min="2826" max="2826" width="10.5703125" style="279" bestFit="1" customWidth="1"/>
    <col min="2827" max="2827" width="9.140625" style="279"/>
    <col min="2828" max="2828" width="12.140625" style="279" customWidth="1"/>
    <col min="2829" max="3070" width="9.140625" style="279"/>
    <col min="3071" max="3071" width="4" style="279" customWidth="1"/>
    <col min="3072" max="3072" width="10.5703125" style="279" customWidth="1"/>
    <col min="3073" max="3073" width="11.140625" style="279" customWidth="1"/>
    <col min="3074" max="3074" width="8.7109375" style="279" customWidth="1"/>
    <col min="3075" max="3075" width="8" style="279" customWidth="1"/>
    <col min="3076" max="3076" width="10.28515625" style="279" customWidth="1"/>
    <col min="3077" max="3077" width="7.140625" style="279" customWidth="1"/>
    <col min="3078" max="3078" width="6.85546875" style="279" customWidth="1"/>
    <col min="3079" max="3079" width="11.7109375" style="279" customWidth="1"/>
    <col min="3080" max="3080" width="11.5703125" style="279" customWidth="1"/>
    <col min="3081" max="3081" width="9.140625" style="279"/>
    <col min="3082" max="3082" width="10.5703125" style="279" bestFit="1" customWidth="1"/>
    <col min="3083" max="3083" width="9.140625" style="279"/>
    <col min="3084" max="3084" width="12.140625" style="279" customWidth="1"/>
    <col min="3085" max="3326" width="9.140625" style="279"/>
    <col min="3327" max="3327" width="4" style="279" customWidth="1"/>
    <col min="3328" max="3328" width="10.5703125" style="279" customWidth="1"/>
    <col min="3329" max="3329" width="11.140625" style="279" customWidth="1"/>
    <col min="3330" max="3330" width="8.7109375" style="279" customWidth="1"/>
    <col min="3331" max="3331" width="8" style="279" customWidth="1"/>
    <col min="3332" max="3332" width="10.28515625" style="279" customWidth="1"/>
    <col min="3333" max="3333" width="7.140625" style="279" customWidth="1"/>
    <col min="3334" max="3334" width="6.85546875" style="279" customWidth="1"/>
    <col min="3335" max="3335" width="11.7109375" style="279" customWidth="1"/>
    <col min="3336" max="3336" width="11.5703125" style="279" customWidth="1"/>
    <col min="3337" max="3337" width="9.140625" style="279"/>
    <col min="3338" max="3338" width="10.5703125" style="279" bestFit="1" customWidth="1"/>
    <col min="3339" max="3339" width="9.140625" style="279"/>
    <col min="3340" max="3340" width="12.140625" style="279" customWidth="1"/>
    <col min="3341" max="3582" width="9.140625" style="279"/>
    <col min="3583" max="3583" width="4" style="279" customWidth="1"/>
    <col min="3584" max="3584" width="10.5703125" style="279" customWidth="1"/>
    <col min="3585" max="3585" width="11.140625" style="279" customWidth="1"/>
    <col min="3586" max="3586" width="8.7109375" style="279" customWidth="1"/>
    <col min="3587" max="3587" width="8" style="279" customWidth="1"/>
    <col min="3588" max="3588" width="10.28515625" style="279" customWidth="1"/>
    <col min="3589" max="3589" width="7.140625" style="279" customWidth="1"/>
    <col min="3590" max="3590" width="6.85546875" style="279" customWidth="1"/>
    <col min="3591" max="3591" width="11.7109375" style="279" customWidth="1"/>
    <col min="3592" max="3592" width="11.5703125" style="279" customWidth="1"/>
    <col min="3593" max="3593" width="9.140625" style="279"/>
    <col min="3594" max="3594" width="10.5703125" style="279" bestFit="1" customWidth="1"/>
    <col min="3595" max="3595" width="9.140625" style="279"/>
    <col min="3596" max="3596" width="12.140625" style="279" customWidth="1"/>
    <col min="3597" max="3838" width="9.140625" style="279"/>
    <col min="3839" max="3839" width="4" style="279" customWidth="1"/>
    <col min="3840" max="3840" width="10.5703125" style="279" customWidth="1"/>
    <col min="3841" max="3841" width="11.140625" style="279" customWidth="1"/>
    <col min="3842" max="3842" width="8.7109375" style="279" customWidth="1"/>
    <col min="3843" max="3843" width="8" style="279" customWidth="1"/>
    <col min="3844" max="3844" width="10.28515625" style="279" customWidth="1"/>
    <col min="3845" max="3845" width="7.140625" style="279" customWidth="1"/>
    <col min="3846" max="3846" width="6.85546875" style="279" customWidth="1"/>
    <col min="3847" max="3847" width="11.7109375" style="279" customWidth="1"/>
    <col min="3848" max="3848" width="11.5703125" style="279" customWidth="1"/>
    <col min="3849" max="3849" width="9.140625" style="279"/>
    <col min="3850" max="3850" width="10.5703125" style="279" bestFit="1" customWidth="1"/>
    <col min="3851" max="3851" width="9.140625" style="279"/>
    <col min="3852" max="3852" width="12.140625" style="279" customWidth="1"/>
    <col min="3853" max="4094" width="9.140625" style="279"/>
    <col min="4095" max="4095" width="4" style="279" customWidth="1"/>
    <col min="4096" max="4096" width="10.5703125" style="279" customWidth="1"/>
    <col min="4097" max="4097" width="11.140625" style="279" customWidth="1"/>
    <col min="4098" max="4098" width="8.7109375" style="279" customWidth="1"/>
    <col min="4099" max="4099" width="8" style="279" customWidth="1"/>
    <col min="4100" max="4100" width="10.28515625" style="279" customWidth="1"/>
    <col min="4101" max="4101" width="7.140625" style="279" customWidth="1"/>
    <col min="4102" max="4102" width="6.85546875" style="279" customWidth="1"/>
    <col min="4103" max="4103" width="11.7109375" style="279" customWidth="1"/>
    <col min="4104" max="4104" width="11.5703125" style="279" customWidth="1"/>
    <col min="4105" max="4105" width="9.140625" style="279"/>
    <col min="4106" max="4106" width="10.5703125" style="279" bestFit="1" customWidth="1"/>
    <col min="4107" max="4107" width="9.140625" style="279"/>
    <col min="4108" max="4108" width="12.140625" style="279" customWidth="1"/>
    <col min="4109" max="4350" width="9.140625" style="279"/>
    <col min="4351" max="4351" width="4" style="279" customWidth="1"/>
    <col min="4352" max="4352" width="10.5703125" style="279" customWidth="1"/>
    <col min="4353" max="4353" width="11.140625" style="279" customWidth="1"/>
    <col min="4354" max="4354" width="8.7109375" style="279" customWidth="1"/>
    <col min="4355" max="4355" width="8" style="279" customWidth="1"/>
    <col min="4356" max="4356" width="10.28515625" style="279" customWidth="1"/>
    <col min="4357" max="4357" width="7.140625" style="279" customWidth="1"/>
    <col min="4358" max="4358" width="6.85546875" style="279" customWidth="1"/>
    <col min="4359" max="4359" width="11.7109375" style="279" customWidth="1"/>
    <col min="4360" max="4360" width="11.5703125" style="279" customWidth="1"/>
    <col min="4361" max="4361" width="9.140625" style="279"/>
    <col min="4362" max="4362" width="10.5703125" style="279" bestFit="1" customWidth="1"/>
    <col min="4363" max="4363" width="9.140625" style="279"/>
    <col min="4364" max="4364" width="12.140625" style="279" customWidth="1"/>
    <col min="4365" max="4606" width="9.140625" style="279"/>
    <col min="4607" max="4607" width="4" style="279" customWidth="1"/>
    <col min="4608" max="4608" width="10.5703125" style="279" customWidth="1"/>
    <col min="4609" max="4609" width="11.140625" style="279" customWidth="1"/>
    <col min="4610" max="4610" width="8.7109375" style="279" customWidth="1"/>
    <col min="4611" max="4611" width="8" style="279" customWidth="1"/>
    <col min="4612" max="4612" width="10.28515625" style="279" customWidth="1"/>
    <col min="4613" max="4613" width="7.140625" style="279" customWidth="1"/>
    <col min="4614" max="4614" width="6.85546875" style="279" customWidth="1"/>
    <col min="4615" max="4615" width="11.7109375" style="279" customWidth="1"/>
    <col min="4616" max="4616" width="11.5703125" style="279" customWidth="1"/>
    <col min="4617" max="4617" width="9.140625" style="279"/>
    <col min="4618" max="4618" width="10.5703125" style="279" bestFit="1" customWidth="1"/>
    <col min="4619" max="4619" width="9.140625" style="279"/>
    <col min="4620" max="4620" width="12.140625" style="279" customWidth="1"/>
    <col min="4621" max="4862" width="9.140625" style="279"/>
    <col min="4863" max="4863" width="4" style="279" customWidth="1"/>
    <col min="4864" max="4864" width="10.5703125" style="279" customWidth="1"/>
    <col min="4865" max="4865" width="11.140625" style="279" customWidth="1"/>
    <col min="4866" max="4866" width="8.7109375" style="279" customWidth="1"/>
    <col min="4867" max="4867" width="8" style="279" customWidth="1"/>
    <col min="4868" max="4868" width="10.28515625" style="279" customWidth="1"/>
    <col min="4869" max="4869" width="7.140625" style="279" customWidth="1"/>
    <col min="4870" max="4870" width="6.85546875" style="279" customWidth="1"/>
    <col min="4871" max="4871" width="11.7109375" style="279" customWidth="1"/>
    <col min="4872" max="4872" width="11.5703125" style="279" customWidth="1"/>
    <col min="4873" max="4873" width="9.140625" style="279"/>
    <col min="4874" max="4874" width="10.5703125" style="279" bestFit="1" customWidth="1"/>
    <col min="4875" max="4875" width="9.140625" style="279"/>
    <col min="4876" max="4876" width="12.140625" style="279" customWidth="1"/>
    <col min="4877" max="5118" width="9.140625" style="279"/>
    <col min="5119" max="5119" width="4" style="279" customWidth="1"/>
    <col min="5120" max="5120" width="10.5703125" style="279" customWidth="1"/>
    <col min="5121" max="5121" width="11.140625" style="279" customWidth="1"/>
    <col min="5122" max="5122" width="8.7109375" style="279" customWidth="1"/>
    <col min="5123" max="5123" width="8" style="279" customWidth="1"/>
    <col min="5124" max="5124" width="10.28515625" style="279" customWidth="1"/>
    <col min="5125" max="5125" width="7.140625" style="279" customWidth="1"/>
    <col min="5126" max="5126" width="6.85546875" style="279" customWidth="1"/>
    <col min="5127" max="5127" width="11.7109375" style="279" customWidth="1"/>
    <col min="5128" max="5128" width="11.5703125" style="279" customWidth="1"/>
    <col min="5129" max="5129" width="9.140625" style="279"/>
    <col min="5130" max="5130" width="10.5703125" style="279" bestFit="1" customWidth="1"/>
    <col min="5131" max="5131" width="9.140625" style="279"/>
    <col min="5132" max="5132" width="12.140625" style="279" customWidth="1"/>
    <col min="5133" max="5374" width="9.140625" style="279"/>
    <col min="5375" max="5375" width="4" style="279" customWidth="1"/>
    <col min="5376" max="5376" width="10.5703125" style="279" customWidth="1"/>
    <col min="5377" max="5377" width="11.140625" style="279" customWidth="1"/>
    <col min="5378" max="5378" width="8.7109375" style="279" customWidth="1"/>
    <col min="5379" max="5379" width="8" style="279" customWidth="1"/>
    <col min="5380" max="5380" width="10.28515625" style="279" customWidth="1"/>
    <col min="5381" max="5381" width="7.140625" style="279" customWidth="1"/>
    <col min="5382" max="5382" width="6.85546875" style="279" customWidth="1"/>
    <col min="5383" max="5383" width="11.7109375" style="279" customWidth="1"/>
    <col min="5384" max="5384" width="11.5703125" style="279" customWidth="1"/>
    <col min="5385" max="5385" width="9.140625" style="279"/>
    <col min="5386" max="5386" width="10.5703125" style="279" bestFit="1" customWidth="1"/>
    <col min="5387" max="5387" width="9.140625" style="279"/>
    <col min="5388" max="5388" width="12.140625" style="279" customWidth="1"/>
    <col min="5389" max="5630" width="9.140625" style="279"/>
    <col min="5631" max="5631" width="4" style="279" customWidth="1"/>
    <col min="5632" max="5632" width="10.5703125" style="279" customWidth="1"/>
    <col min="5633" max="5633" width="11.140625" style="279" customWidth="1"/>
    <col min="5634" max="5634" width="8.7109375" style="279" customWidth="1"/>
    <col min="5635" max="5635" width="8" style="279" customWidth="1"/>
    <col min="5636" max="5636" width="10.28515625" style="279" customWidth="1"/>
    <col min="5637" max="5637" width="7.140625" style="279" customWidth="1"/>
    <col min="5638" max="5638" width="6.85546875" style="279" customWidth="1"/>
    <col min="5639" max="5639" width="11.7109375" style="279" customWidth="1"/>
    <col min="5640" max="5640" width="11.5703125" style="279" customWidth="1"/>
    <col min="5641" max="5641" width="9.140625" style="279"/>
    <col min="5642" max="5642" width="10.5703125" style="279" bestFit="1" customWidth="1"/>
    <col min="5643" max="5643" width="9.140625" style="279"/>
    <col min="5644" max="5644" width="12.140625" style="279" customWidth="1"/>
    <col min="5645" max="5886" width="9.140625" style="279"/>
    <col min="5887" max="5887" width="4" style="279" customWidth="1"/>
    <col min="5888" max="5888" width="10.5703125" style="279" customWidth="1"/>
    <col min="5889" max="5889" width="11.140625" style="279" customWidth="1"/>
    <col min="5890" max="5890" width="8.7109375" style="279" customWidth="1"/>
    <col min="5891" max="5891" width="8" style="279" customWidth="1"/>
    <col min="5892" max="5892" width="10.28515625" style="279" customWidth="1"/>
    <col min="5893" max="5893" width="7.140625" style="279" customWidth="1"/>
    <col min="5894" max="5894" width="6.85546875" style="279" customWidth="1"/>
    <col min="5895" max="5895" width="11.7109375" style="279" customWidth="1"/>
    <col min="5896" max="5896" width="11.5703125" style="279" customWidth="1"/>
    <col min="5897" max="5897" width="9.140625" style="279"/>
    <col min="5898" max="5898" width="10.5703125" style="279" bestFit="1" customWidth="1"/>
    <col min="5899" max="5899" width="9.140625" style="279"/>
    <col min="5900" max="5900" width="12.140625" style="279" customWidth="1"/>
    <col min="5901" max="6142" width="9.140625" style="279"/>
    <col min="6143" max="6143" width="4" style="279" customWidth="1"/>
    <col min="6144" max="6144" width="10.5703125" style="279" customWidth="1"/>
    <col min="6145" max="6145" width="11.140625" style="279" customWidth="1"/>
    <col min="6146" max="6146" width="8.7109375" style="279" customWidth="1"/>
    <col min="6147" max="6147" width="8" style="279" customWidth="1"/>
    <col min="6148" max="6148" width="10.28515625" style="279" customWidth="1"/>
    <col min="6149" max="6149" width="7.140625" style="279" customWidth="1"/>
    <col min="6150" max="6150" width="6.85546875" style="279" customWidth="1"/>
    <col min="6151" max="6151" width="11.7109375" style="279" customWidth="1"/>
    <col min="6152" max="6152" width="11.5703125" style="279" customWidth="1"/>
    <col min="6153" max="6153" width="9.140625" style="279"/>
    <col min="6154" max="6154" width="10.5703125" style="279" bestFit="1" customWidth="1"/>
    <col min="6155" max="6155" width="9.140625" style="279"/>
    <col min="6156" max="6156" width="12.140625" style="279" customWidth="1"/>
    <col min="6157" max="6398" width="9.140625" style="279"/>
    <col min="6399" max="6399" width="4" style="279" customWidth="1"/>
    <col min="6400" max="6400" width="10.5703125" style="279" customWidth="1"/>
    <col min="6401" max="6401" width="11.140625" style="279" customWidth="1"/>
    <col min="6402" max="6402" width="8.7109375" style="279" customWidth="1"/>
    <col min="6403" max="6403" width="8" style="279" customWidth="1"/>
    <col min="6404" max="6404" width="10.28515625" style="279" customWidth="1"/>
    <col min="6405" max="6405" width="7.140625" style="279" customWidth="1"/>
    <col min="6406" max="6406" width="6.85546875" style="279" customWidth="1"/>
    <col min="6407" max="6407" width="11.7109375" style="279" customWidth="1"/>
    <col min="6408" max="6408" width="11.5703125" style="279" customWidth="1"/>
    <col min="6409" max="6409" width="9.140625" style="279"/>
    <col min="6410" max="6410" width="10.5703125" style="279" bestFit="1" customWidth="1"/>
    <col min="6411" max="6411" width="9.140625" style="279"/>
    <col min="6412" max="6412" width="12.140625" style="279" customWidth="1"/>
    <col min="6413" max="6654" width="9.140625" style="279"/>
    <col min="6655" max="6655" width="4" style="279" customWidth="1"/>
    <col min="6656" max="6656" width="10.5703125" style="279" customWidth="1"/>
    <col min="6657" max="6657" width="11.140625" style="279" customWidth="1"/>
    <col min="6658" max="6658" width="8.7109375" style="279" customWidth="1"/>
    <col min="6659" max="6659" width="8" style="279" customWidth="1"/>
    <col min="6660" max="6660" width="10.28515625" style="279" customWidth="1"/>
    <col min="6661" max="6661" width="7.140625" style="279" customWidth="1"/>
    <col min="6662" max="6662" width="6.85546875" style="279" customWidth="1"/>
    <col min="6663" max="6663" width="11.7109375" style="279" customWidth="1"/>
    <col min="6664" max="6664" width="11.5703125" style="279" customWidth="1"/>
    <col min="6665" max="6665" width="9.140625" style="279"/>
    <col min="6666" max="6666" width="10.5703125" style="279" bestFit="1" customWidth="1"/>
    <col min="6667" max="6667" width="9.140625" style="279"/>
    <col min="6668" max="6668" width="12.140625" style="279" customWidth="1"/>
    <col min="6669" max="6910" width="9.140625" style="279"/>
    <col min="6911" max="6911" width="4" style="279" customWidth="1"/>
    <col min="6912" max="6912" width="10.5703125" style="279" customWidth="1"/>
    <col min="6913" max="6913" width="11.140625" style="279" customWidth="1"/>
    <col min="6914" max="6914" width="8.7109375" style="279" customWidth="1"/>
    <col min="6915" max="6915" width="8" style="279" customWidth="1"/>
    <col min="6916" max="6916" width="10.28515625" style="279" customWidth="1"/>
    <col min="6917" max="6917" width="7.140625" style="279" customWidth="1"/>
    <col min="6918" max="6918" width="6.85546875" style="279" customWidth="1"/>
    <col min="6919" max="6919" width="11.7109375" style="279" customWidth="1"/>
    <col min="6920" max="6920" width="11.5703125" style="279" customWidth="1"/>
    <col min="6921" max="6921" width="9.140625" style="279"/>
    <col min="6922" max="6922" width="10.5703125" style="279" bestFit="1" customWidth="1"/>
    <col min="6923" max="6923" width="9.140625" style="279"/>
    <col min="6924" max="6924" width="12.140625" style="279" customWidth="1"/>
    <col min="6925" max="7166" width="9.140625" style="279"/>
    <col min="7167" max="7167" width="4" style="279" customWidth="1"/>
    <col min="7168" max="7168" width="10.5703125" style="279" customWidth="1"/>
    <col min="7169" max="7169" width="11.140625" style="279" customWidth="1"/>
    <col min="7170" max="7170" width="8.7109375" style="279" customWidth="1"/>
    <col min="7171" max="7171" width="8" style="279" customWidth="1"/>
    <col min="7172" max="7172" width="10.28515625" style="279" customWidth="1"/>
    <col min="7173" max="7173" width="7.140625" style="279" customWidth="1"/>
    <col min="7174" max="7174" width="6.85546875" style="279" customWidth="1"/>
    <col min="7175" max="7175" width="11.7109375" style="279" customWidth="1"/>
    <col min="7176" max="7176" width="11.5703125" style="279" customWidth="1"/>
    <col min="7177" max="7177" width="9.140625" style="279"/>
    <col min="7178" max="7178" width="10.5703125" style="279" bestFit="1" customWidth="1"/>
    <col min="7179" max="7179" width="9.140625" style="279"/>
    <col min="7180" max="7180" width="12.140625" style="279" customWidth="1"/>
    <col min="7181" max="7422" width="9.140625" style="279"/>
    <col min="7423" max="7423" width="4" style="279" customWidth="1"/>
    <col min="7424" max="7424" width="10.5703125" style="279" customWidth="1"/>
    <col min="7425" max="7425" width="11.140625" style="279" customWidth="1"/>
    <col min="7426" max="7426" width="8.7109375" style="279" customWidth="1"/>
    <col min="7427" max="7427" width="8" style="279" customWidth="1"/>
    <col min="7428" max="7428" width="10.28515625" style="279" customWidth="1"/>
    <col min="7429" max="7429" width="7.140625" style="279" customWidth="1"/>
    <col min="7430" max="7430" width="6.85546875" style="279" customWidth="1"/>
    <col min="7431" max="7431" width="11.7109375" style="279" customWidth="1"/>
    <col min="7432" max="7432" width="11.5703125" style="279" customWidth="1"/>
    <col min="7433" max="7433" width="9.140625" style="279"/>
    <col min="7434" max="7434" width="10.5703125" style="279" bestFit="1" customWidth="1"/>
    <col min="7435" max="7435" width="9.140625" style="279"/>
    <col min="7436" max="7436" width="12.140625" style="279" customWidth="1"/>
    <col min="7437" max="7678" width="9.140625" style="279"/>
    <col min="7679" max="7679" width="4" style="279" customWidth="1"/>
    <col min="7680" max="7680" width="10.5703125" style="279" customWidth="1"/>
    <col min="7681" max="7681" width="11.140625" style="279" customWidth="1"/>
    <col min="7682" max="7682" width="8.7109375" style="279" customWidth="1"/>
    <col min="7683" max="7683" width="8" style="279" customWidth="1"/>
    <col min="7684" max="7684" width="10.28515625" style="279" customWidth="1"/>
    <col min="7685" max="7685" width="7.140625" style="279" customWidth="1"/>
    <col min="7686" max="7686" width="6.85546875" style="279" customWidth="1"/>
    <col min="7687" max="7687" width="11.7109375" style="279" customWidth="1"/>
    <col min="7688" max="7688" width="11.5703125" style="279" customWidth="1"/>
    <col min="7689" max="7689" width="9.140625" style="279"/>
    <col min="7690" max="7690" width="10.5703125" style="279" bestFit="1" customWidth="1"/>
    <col min="7691" max="7691" width="9.140625" style="279"/>
    <col min="7692" max="7692" width="12.140625" style="279" customWidth="1"/>
    <col min="7693" max="7934" width="9.140625" style="279"/>
    <col min="7935" max="7935" width="4" style="279" customWidth="1"/>
    <col min="7936" max="7936" width="10.5703125" style="279" customWidth="1"/>
    <col min="7937" max="7937" width="11.140625" style="279" customWidth="1"/>
    <col min="7938" max="7938" width="8.7109375" style="279" customWidth="1"/>
    <col min="7939" max="7939" width="8" style="279" customWidth="1"/>
    <col min="7940" max="7940" width="10.28515625" style="279" customWidth="1"/>
    <col min="7941" max="7941" width="7.140625" style="279" customWidth="1"/>
    <col min="7942" max="7942" width="6.85546875" style="279" customWidth="1"/>
    <col min="7943" max="7943" width="11.7109375" style="279" customWidth="1"/>
    <col min="7944" max="7944" width="11.5703125" style="279" customWidth="1"/>
    <col min="7945" max="7945" width="9.140625" style="279"/>
    <col min="7946" max="7946" width="10.5703125" style="279" bestFit="1" customWidth="1"/>
    <col min="7947" max="7947" width="9.140625" style="279"/>
    <col min="7948" max="7948" width="12.140625" style="279" customWidth="1"/>
    <col min="7949" max="8190" width="9.140625" style="279"/>
    <col min="8191" max="8191" width="4" style="279" customWidth="1"/>
    <col min="8192" max="8192" width="10.5703125" style="279" customWidth="1"/>
    <col min="8193" max="8193" width="11.140625" style="279" customWidth="1"/>
    <col min="8194" max="8194" width="8.7109375" style="279" customWidth="1"/>
    <col min="8195" max="8195" width="8" style="279" customWidth="1"/>
    <col min="8196" max="8196" width="10.28515625" style="279" customWidth="1"/>
    <col min="8197" max="8197" width="7.140625" style="279" customWidth="1"/>
    <col min="8198" max="8198" width="6.85546875" style="279" customWidth="1"/>
    <col min="8199" max="8199" width="11.7109375" style="279" customWidth="1"/>
    <col min="8200" max="8200" width="11.5703125" style="279" customWidth="1"/>
    <col min="8201" max="8201" width="9.140625" style="279"/>
    <col min="8202" max="8202" width="10.5703125" style="279" bestFit="1" customWidth="1"/>
    <col min="8203" max="8203" width="9.140625" style="279"/>
    <col min="8204" max="8204" width="12.140625" style="279" customWidth="1"/>
    <col min="8205" max="8446" width="9.140625" style="279"/>
    <col min="8447" max="8447" width="4" style="279" customWidth="1"/>
    <col min="8448" max="8448" width="10.5703125" style="279" customWidth="1"/>
    <col min="8449" max="8449" width="11.140625" style="279" customWidth="1"/>
    <col min="8450" max="8450" width="8.7109375" style="279" customWidth="1"/>
    <col min="8451" max="8451" width="8" style="279" customWidth="1"/>
    <col min="8452" max="8452" width="10.28515625" style="279" customWidth="1"/>
    <col min="8453" max="8453" width="7.140625" style="279" customWidth="1"/>
    <col min="8454" max="8454" width="6.85546875" style="279" customWidth="1"/>
    <col min="8455" max="8455" width="11.7109375" style="279" customWidth="1"/>
    <col min="8456" max="8456" width="11.5703125" style="279" customWidth="1"/>
    <col min="8457" max="8457" width="9.140625" style="279"/>
    <col min="8458" max="8458" width="10.5703125" style="279" bestFit="1" customWidth="1"/>
    <col min="8459" max="8459" width="9.140625" style="279"/>
    <col min="8460" max="8460" width="12.140625" style="279" customWidth="1"/>
    <col min="8461" max="8702" width="9.140625" style="279"/>
    <col min="8703" max="8703" width="4" style="279" customWidth="1"/>
    <col min="8704" max="8704" width="10.5703125" style="279" customWidth="1"/>
    <col min="8705" max="8705" width="11.140625" style="279" customWidth="1"/>
    <col min="8706" max="8706" width="8.7109375" style="279" customWidth="1"/>
    <col min="8707" max="8707" width="8" style="279" customWidth="1"/>
    <col min="8708" max="8708" width="10.28515625" style="279" customWidth="1"/>
    <col min="8709" max="8709" width="7.140625" style="279" customWidth="1"/>
    <col min="8710" max="8710" width="6.85546875" style="279" customWidth="1"/>
    <col min="8711" max="8711" width="11.7109375" style="279" customWidth="1"/>
    <col min="8712" max="8712" width="11.5703125" style="279" customWidth="1"/>
    <col min="8713" max="8713" width="9.140625" style="279"/>
    <col min="8714" max="8714" width="10.5703125" style="279" bestFit="1" customWidth="1"/>
    <col min="8715" max="8715" width="9.140625" style="279"/>
    <col min="8716" max="8716" width="12.140625" style="279" customWidth="1"/>
    <col min="8717" max="8958" width="9.140625" style="279"/>
    <col min="8959" max="8959" width="4" style="279" customWidth="1"/>
    <col min="8960" max="8960" width="10.5703125" style="279" customWidth="1"/>
    <col min="8961" max="8961" width="11.140625" style="279" customWidth="1"/>
    <col min="8962" max="8962" width="8.7109375" style="279" customWidth="1"/>
    <col min="8963" max="8963" width="8" style="279" customWidth="1"/>
    <col min="8964" max="8964" width="10.28515625" style="279" customWidth="1"/>
    <col min="8965" max="8965" width="7.140625" style="279" customWidth="1"/>
    <col min="8966" max="8966" width="6.85546875" style="279" customWidth="1"/>
    <col min="8967" max="8967" width="11.7109375" style="279" customWidth="1"/>
    <col min="8968" max="8968" width="11.5703125" style="279" customWidth="1"/>
    <col min="8969" max="8969" width="9.140625" style="279"/>
    <col min="8970" max="8970" width="10.5703125" style="279" bestFit="1" customWidth="1"/>
    <col min="8971" max="8971" width="9.140625" style="279"/>
    <col min="8972" max="8972" width="12.140625" style="279" customWidth="1"/>
    <col min="8973" max="9214" width="9.140625" style="279"/>
    <col min="9215" max="9215" width="4" style="279" customWidth="1"/>
    <col min="9216" max="9216" width="10.5703125" style="279" customWidth="1"/>
    <col min="9217" max="9217" width="11.140625" style="279" customWidth="1"/>
    <col min="9218" max="9218" width="8.7109375" style="279" customWidth="1"/>
    <col min="9219" max="9219" width="8" style="279" customWidth="1"/>
    <col min="9220" max="9220" width="10.28515625" style="279" customWidth="1"/>
    <col min="9221" max="9221" width="7.140625" style="279" customWidth="1"/>
    <col min="9222" max="9222" width="6.85546875" style="279" customWidth="1"/>
    <col min="9223" max="9223" width="11.7109375" style="279" customWidth="1"/>
    <col min="9224" max="9224" width="11.5703125" style="279" customWidth="1"/>
    <col min="9225" max="9225" width="9.140625" style="279"/>
    <col min="9226" max="9226" width="10.5703125" style="279" bestFit="1" customWidth="1"/>
    <col min="9227" max="9227" width="9.140625" style="279"/>
    <col min="9228" max="9228" width="12.140625" style="279" customWidth="1"/>
    <col min="9229" max="9470" width="9.140625" style="279"/>
    <col min="9471" max="9471" width="4" style="279" customWidth="1"/>
    <col min="9472" max="9472" width="10.5703125" style="279" customWidth="1"/>
    <col min="9473" max="9473" width="11.140625" style="279" customWidth="1"/>
    <col min="9474" max="9474" width="8.7109375" style="279" customWidth="1"/>
    <col min="9475" max="9475" width="8" style="279" customWidth="1"/>
    <col min="9476" max="9476" width="10.28515625" style="279" customWidth="1"/>
    <col min="9477" max="9477" width="7.140625" style="279" customWidth="1"/>
    <col min="9478" max="9478" width="6.85546875" style="279" customWidth="1"/>
    <col min="9479" max="9479" width="11.7109375" style="279" customWidth="1"/>
    <col min="9480" max="9480" width="11.5703125" style="279" customWidth="1"/>
    <col min="9481" max="9481" width="9.140625" style="279"/>
    <col min="9482" max="9482" width="10.5703125" style="279" bestFit="1" customWidth="1"/>
    <col min="9483" max="9483" width="9.140625" style="279"/>
    <col min="9484" max="9484" width="12.140625" style="279" customWidth="1"/>
    <col min="9485" max="9726" width="9.140625" style="279"/>
    <col min="9727" max="9727" width="4" style="279" customWidth="1"/>
    <col min="9728" max="9728" width="10.5703125" style="279" customWidth="1"/>
    <col min="9729" max="9729" width="11.140625" style="279" customWidth="1"/>
    <col min="9730" max="9730" width="8.7109375" style="279" customWidth="1"/>
    <col min="9731" max="9731" width="8" style="279" customWidth="1"/>
    <col min="9732" max="9732" width="10.28515625" style="279" customWidth="1"/>
    <col min="9733" max="9733" width="7.140625" style="279" customWidth="1"/>
    <col min="9734" max="9734" width="6.85546875" style="279" customWidth="1"/>
    <col min="9735" max="9735" width="11.7109375" style="279" customWidth="1"/>
    <col min="9736" max="9736" width="11.5703125" style="279" customWidth="1"/>
    <col min="9737" max="9737" width="9.140625" style="279"/>
    <col min="9738" max="9738" width="10.5703125" style="279" bestFit="1" customWidth="1"/>
    <col min="9739" max="9739" width="9.140625" style="279"/>
    <col min="9740" max="9740" width="12.140625" style="279" customWidth="1"/>
    <col min="9741" max="9982" width="9.140625" style="279"/>
    <col min="9983" max="9983" width="4" style="279" customWidth="1"/>
    <col min="9984" max="9984" width="10.5703125" style="279" customWidth="1"/>
    <col min="9985" max="9985" width="11.140625" style="279" customWidth="1"/>
    <col min="9986" max="9986" width="8.7109375" style="279" customWidth="1"/>
    <col min="9987" max="9987" width="8" style="279" customWidth="1"/>
    <col min="9988" max="9988" width="10.28515625" style="279" customWidth="1"/>
    <col min="9989" max="9989" width="7.140625" style="279" customWidth="1"/>
    <col min="9990" max="9990" width="6.85546875" style="279" customWidth="1"/>
    <col min="9991" max="9991" width="11.7109375" style="279" customWidth="1"/>
    <col min="9992" max="9992" width="11.5703125" style="279" customWidth="1"/>
    <col min="9993" max="9993" width="9.140625" style="279"/>
    <col min="9994" max="9994" width="10.5703125" style="279" bestFit="1" customWidth="1"/>
    <col min="9995" max="9995" width="9.140625" style="279"/>
    <col min="9996" max="9996" width="12.140625" style="279" customWidth="1"/>
    <col min="9997" max="10238" width="9.140625" style="279"/>
    <col min="10239" max="10239" width="4" style="279" customWidth="1"/>
    <col min="10240" max="10240" width="10.5703125" style="279" customWidth="1"/>
    <col min="10241" max="10241" width="11.140625" style="279" customWidth="1"/>
    <col min="10242" max="10242" width="8.7109375" style="279" customWidth="1"/>
    <col min="10243" max="10243" width="8" style="279" customWidth="1"/>
    <col min="10244" max="10244" width="10.28515625" style="279" customWidth="1"/>
    <col min="10245" max="10245" width="7.140625" style="279" customWidth="1"/>
    <col min="10246" max="10246" width="6.85546875" style="279" customWidth="1"/>
    <col min="10247" max="10247" width="11.7109375" style="279" customWidth="1"/>
    <col min="10248" max="10248" width="11.5703125" style="279" customWidth="1"/>
    <col min="10249" max="10249" width="9.140625" style="279"/>
    <col min="10250" max="10250" width="10.5703125" style="279" bestFit="1" customWidth="1"/>
    <col min="10251" max="10251" width="9.140625" style="279"/>
    <col min="10252" max="10252" width="12.140625" style="279" customWidth="1"/>
    <col min="10253" max="10494" width="9.140625" style="279"/>
    <col min="10495" max="10495" width="4" style="279" customWidth="1"/>
    <col min="10496" max="10496" width="10.5703125" style="279" customWidth="1"/>
    <col min="10497" max="10497" width="11.140625" style="279" customWidth="1"/>
    <col min="10498" max="10498" width="8.7109375" style="279" customWidth="1"/>
    <col min="10499" max="10499" width="8" style="279" customWidth="1"/>
    <col min="10500" max="10500" width="10.28515625" style="279" customWidth="1"/>
    <col min="10501" max="10501" width="7.140625" style="279" customWidth="1"/>
    <col min="10502" max="10502" width="6.85546875" style="279" customWidth="1"/>
    <col min="10503" max="10503" width="11.7109375" style="279" customWidth="1"/>
    <col min="10504" max="10504" width="11.5703125" style="279" customWidth="1"/>
    <col min="10505" max="10505" width="9.140625" style="279"/>
    <col min="10506" max="10506" width="10.5703125" style="279" bestFit="1" customWidth="1"/>
    <col min="10507" max="10507" width="9.140625" style="279"/>
    <col min="10508" max="10508" width="12.140625" style="279" customWidth="1"/>
    <col min="10509" max="10750" width="9.140625" style="279"/>
    <col min="10751" max="10751" width="4" style="279" customWidth="1"/>
    <col min="10752" max="10752" width="10.5703125" style="279" customWidth="1"/>
    <col min="10753" max="10753" width="11.140625" style="279" customWidth="1"/>
    <col min="10754" max="10754" width="8.7109375" style="279" customWidth="1"/>
    <col min="10755" max="10755" width="8" style="279" customWidth="1"/>
    <col min="10756" max="10756" width="10.28515625" style="279" customWidth="1"/>
    <col min="10757" max="10757" width="7.140625" style="279" customWidth="1"/>
    <col min="10758" max="10758" width="6.85546875" style="279" customWidth="1"/>
    <col min="10759" max="10759" width="11.7109375" style="279" customWidth="1"/>
    <col min="10760" max="10760" width="11.5703125" style="279" customWidth="1"/>
    <col min="10761" max="10761" width="9.140625" style="279"/>
    <col min="10762" max="10762" width="10.5703125" style="279" bestFit="1" customWidth="1"/>
    <col min="10763" max="10763" width="9.140625" style="279"/>
    <col min="10764" max="10764" width="12.140625" style="279" customWidth="1"/>
    <col min="10765" max="11006" width="9.140625" style="279"/>
    <col min="11007" max="11007" width="4" style="279" customWidth="1"/>
    <col min="11008" max="11008" width="10.5703125" style="279" customWidth="1"/>
    <col min="11009" max="11009" width="11.140625" style="279" customWidth="1"/>
    <col min="11010" max="11010" width="8.7109375" style="279" customWidth="1"/>
    <col min="11011" max="11011" width="8" style="279" customWidth="1"/>
    <col min="11012" max="11012" width="10.28515625" style="279" customWidth="1"/>
    <col min="11013" max="11013" width="7.140625" style="279" customWidth="1"/>
    <col min="11014" max="11014" width="6.85546875" style="279" customWidth="1"/>
    <col min="11015" max="11015" width="11.7109375" style="279" customWidth="1"/>
    <col min="11016" max="11016" width="11.5703125" style="279" customWidth="1"/>
    <col min="11017" max="11017" width="9.140625" style="279"/>
    <col min="11018" max="11018" width="10.5703125" style="279" bestFit="1" customWidth="1"/>
    <col min="11019" max="11019" width="9.140625" style="279"/>
    <col min="11020" max="11020" width="12.140625" style="279" customWidth="1"/>
    <col min="11021" max="11262" width="9.140625" style="279"/>
    <col min="11263" max="11263" width="4" style="279" customWidth="1"/>
    <col min="11264" max="11264" width="10.5703125" style="279" customWidth="1"/>
    <col min="11265" max="11265" width="11.140625" style="279" customWidth="1"/>
    <col min="11266" max="11266" width="8.7109375" style="279" customWidth="1"/>
    <col min="11267" max="11267" width="8" style="279" customWidth="1"/>
    <col min="11268" max="11268" width="10.28515625" style="279" customWidth="1"/>
    <col min="11269" max="11269" width="7.140625" style="279" customWidth="1"/>
    <col min="11270" max="11270" width="6.85546875" style="279" customWidth="1"/>
    <col min="11271" max="11271" width="11.7109375" style="279" customWidth="1"/>
    <col min="11272" max="11272" width="11.5703125" style="279" customWidth="1"/>
    <col min="11273" max="11273" width="9.140625" style="279"/>
    <col min="11274" max="11274" width="10.5703125" style="279" bestFit="1" customWidth="1"/>
    <col min="11275" max="11275" width="9.140625" style="279"/>
    <col min="11276" max="11276" width="12.140625" style="279" customWidth="1"/>
    <col min="11277" max="11518" width="9.140625" style="279"/>
    <col min="11519" max="11519" width="4" style="279" customWidth="1"/>
    <col min="11520" max="11520" width="10.5703125" style="279" customWidth="1"/>
    <col min="11521" max="11521" width="11.140625" style="279" customWidth="1"/>
    <col min="11522" max="11522" width="8.7109375" style="279" customWidth="1"/>
    <col min="11523" max="11523" width="8" style="279" customWidth="1"/>
    <col min="11524" max="11524" width="10.28515625" style="279" customWidth="1"/>
    <col min="11525" max="11525" width="7.140625" style="279" customWidth="1"/>
    <col min="11526" max="11526" width="6.85546875" style="279" customWidth="1"/>
    <col min="11527" max="11527" width="11.7109375" style="279" customWidth="1"/>
    <col min="11528" max="11528" width="11.5703125" style="279" customWidth="1"/>
    <col min="11529" max="11529" width="9.140625" style="279"/>
    <col min="11530" max="11530" width="10.5703125" style="279" bestFit="1" customWidth="1"/>
    <col min="11531" max="11531" width="9.140625" style="279"/>
    <col min="11532" max="11532" width="12.140625" style="279" customWidth="1"/>
    <col min="11533" max="11774" width="9.140625" style="279"/>
    <col min="11775" max="11775" width="4" style="279" customWidth="1"/>
    <col min="11776" max="11776" width="10.5703125" style="279" customWidth="1"/>
    <col min="11777" max="11777" width="11.140625" style="279" customWidth="1"/>
    <col min="11778" max="11778" width="8.7109375" style="279" customWidth="1"/>
    <col min="11779" max="11779" width="8" style="279" customWidth="1"/>
    <col min="11780" max="11780" width="10.28515625" style="279" customWidth="1"/>
    <col min="11781" max="11781" width="7.140625" style="279" customWidth="1"/>
    <col min="11782" max="11782" width="6.85546875" style="279" customWidth="1"/>
    <col min="11783" max="11783" width="11.7109375" style="279" customWidth="1"/>
    <col min="11784" max="11784" width="11.5703125" style="279" customWidth="1"/>
    <col min="11785" max="11785" width="9.140625" style="279"/>
    <col min="11786" max="11786" width="10.5703125" style="279" bestFit="1" customWidth="1"/>
    <col min="11787" max="11787" width="9.140625" style="279"/>
    <col min="11788" max="11788" width="12.140625" style="279" customWidth="1"/>
    <col min="11789" max="12030" width="9.140625" style="279"/>
    <col min="12031" max="12031" width="4" style="279" customWidth="1"/>
    <col min="12032" max="12032" width="10.5703125" style="279" customWidth="1"/>
    <col min="12033" max="12033" width="11.140625" style="279" customWidth="1"/>
    <col min="12034" max="12034" width="8.7109375" style="279" customWidth="1"/>
    <col min="12035" max="12035" width="8" style="279" customWidth="1"/>
    <col min="12036" max="12036" width="10.28515625" style="279" customWidth="1"/>
    <col min="12037" max="12037" width="7.140625" style="279" customWidth="1"/>
    <col min="12038" max="12038" width="6.85546875" style="279" customWidth="1"/>
    <col min="12039" max="12039" width="11.7109375" style="279" customWidth="1"/>
    <col min="12040" max="12040" width="11.5703125" style="279" customWidth="1"/>
    <col min="12041" max="12041" width="9.140625" style="279"/>
    <col min="12042" max="12042" width="10.5703125" style="279" bestFit="1" customWidth="1"/>
    <col min="12043" max="12043" width="9.140625" style="279"/>
    <col min="12044" max="12044" width="12.140625" style="279" customWidth="1"/>
    <col min="12045" max="12286" width="9.140625" style="279"/>
    <col min="12287" max="12287" width="4" style="279" customWidth="1"/>
    <col min="12288" max="12288" width="10.5703125" style="279" customWidth="1"/>
    <col min="12289" max="12289" width="11.140625" style="279" customWidth="1"/>
    <col min="12290" max="12290" width="8.7109375" style="279" customWidth="1"/>
    <col min="12291" max="12291" width="8" style="279" customWidth="1"/>
    <col min="12292" max="12292" width="10.28515625" style="279" customWidth="1"/>
    <col min="12293" max="12293" width="7.140625" style="279" customWidth="1"/>
    <col min="12294" max="12294" width="6.85546875" style="279" customWidth="1"/>
    <col min="12295" max="12295" width="11.7109375" style="279" customWidth="1"/>
    <col min="12296" max="12296" width="11.5703125" style="279" customWidth="1"/>
    <col min="12297" max="12297" width="9.140625" style="279"/>
    <col min="12298" max="12298" width="10.5703125" style="279" bestFit="1" customWidth="1"/>
    <col min="12299" max="12299" width="9.140625" style="279"/>
    <col min="12300" max="12300" width="12.140625" style="279" customWidth="1"/>
    <col min="12301" max="12542" width="9.140625" style="279"/>
    <col min="12543" max="12543" width="4" style="279" customWidth="1"/>
    <col min="12544" max="12544" width="10.5703125" style="279" customWidth="1"/>
    <col min="12545" max="12545" width="11.140625" style="279" customWidth="1"/>
    <col min="12546" max="12546" width="8.7109375" style="279" customWidth="1"/>
    <col min="12547" max="12547" width="8" style="279" customWidth="1"/>
    <col min="12548" max="12548" width="10.28515625" style="279" customWidth="1"/>
    <col min="12549" max="12549" width="7.140625" style="279" customWidth="1"/>
    <col min="12550" max="12550" width="6.85546875" style="279" customWidth="1"/>
    <col min="12551" max="12551" width="11.7109375" style="279" customWidth="1"/>
    <col min="12552" max="12552" width="11.5703125" style="279" customWidth="1"/>
    <col min="12553" max="12553" width="9.140625" style="279"/>
    <col min="12554" max="12554" width="10.5703125" style="279" bestFit="1" customWidth="1"/>
    <col min="12555" max="12555" width="9.140625" style="279"/>
    <col min="12556" max="12556" width="12.140625" style="279" customWidth="1"/>
    <col min="12557" max="12798" width="9.140625" style="279"/>
    <col min="12799" max="12799" width="4" style="279" customWidth="1"/>
    <col min="12800" max="12800" width="10.5703125" style="279" customWidth="1"/>
    <col min="12801" max="12801" width="11.140625" style="279" customWidth="1"/>
    <col min="12802" max="12802" width="8.7109375" style="279" customWidth="1"/>
    <col min="12803" max="12803" width="8" style="279" customWidth="1"/>
    <col min="12804" max="12804" width="10.28515625" style="279" customWidth="1"/>
    <col min="12805" max="12805" width="7.140625" style="279" customWidth="1"/>
    <col min="12806" max="12806" width="6.85546875" style="279" customWidth="1"/>
    <col min="12807" max="12807" width="11.7109375" style="279" customWidth="1"/>
    <col min="12808" max="12808" width="11.5703125" style="279" customWidth="1"/>
    <col min="12809" max="12809" width="9.140625" style="279"/>
    <col min="12810" max="12810" width="10.5703125" style="279" bestFit="1" customWidth="1"/>
    <col min="12811" max="12811" width="9.140625" style="279"/>
    <col min="12812" max="12812" width="12.140625" style="279" customWidth="1"/>
    <col min="12813" max="13054" width="9.140625" style="279"/>
    <col min="13055" max="13055" width="4" style="279" customWidth="1"/>
    <col min="13056" max="13056" width="10.5703125" style="279" customWidth="1"/>
    <col min="13057" max="13057" width="11.140625" style="279" customWidth="1"/>
    <col min="13058" max="13058" width="8.7109375" style="279" customWidth="1"/>
    <col min="13059" max="13059" width="8" style="279" customWidth="1"/>
    <col min="13060" max="13060" width="10.28515625" style="279" customWidth="1"/>
    <col min="13061" max="13061" width="7.140625" style="279" customWidth="1"/>
    <col min="13062" max="13062" width="6.85546875" style="279" customWidth="1"/>
    <col min="13063" max="13063" width="11.7109375" style="279" customWidth="1"/>
    <col min="13064" max="13064" width="11.5703125" style="279" customWidth="1"/>
    <col min="13065" max="13065" width="9.140625" style="279"/>
    <col min="13066" max="13066" width="10.5703125" style="279" bestFit="1" customWidth="1"/>
    <col min="13067" max="13067" width="9.140625" style="279"/>
    <col min="13068" max="13068" width="12.140625" style="279" customWidth="1"/>
    <col min="13069" max="13310" width="9.140625" style="279"/>
    <col min="13311" max="13311" width="4" style="279" customWidth="1"/>
    <col min="13312" max="13312" width="10.5703125" style="279" customWidth="1"/>
    <col min="13313" max="13313" width="11.140625" style="279" customWidth="1"/>
    <col min="13314" max="13314" width="8.7109375" style="279" customWidth="1"/>
    <col min="13315" max="13315" width="8" style="279" customWidth="1"/>
    <col min="13316" max="13316" width="10.28515625" style="279" customWidth="1"/>
    <col min="13317" max="13317" width="7.140625" style="279" customWidth="1"/>
    <col min="13318" max="13318" width="6.85546875" style="279" customWidth="1"/>
    <col min="13319" max="13319" width="11.7109375" style="279" customWidth="1"/>
    <col min="13320" max="13320" width="11.5703125" style="279" customWidth="1"/>
    <col min="13321" max="13321" width="9.140625" style="279"/>
    <col min="13322" max="13322" width="10.5703125" style="279" bestFit="1" customWidth="1"/>
    <col min="13323" max="13323" width="9.140625" style="279"/>
    <col min="13324" max="13324" width="12.140625" style="279" customWidth="1"/>
    <col min="13325" max="13566" width="9.140625" style="279"/>
    <col min="13567" max="13567" width="4" style="279" customWidth="1"/>
    <col min="13568" max="13568" width="10.5703125" style="279" customWidth="1"/>
    <col min="13569" max="13569" width="11.140625" style="279" customWidth="1"/>
    <col min="13570" max="13570" width="8.7109375" style="279" customWidth="1"/>
    <col min="13571" max="13571" width="8" style="279" customWidth="1"/>
    <col min="13572" max="13572" width="10.28515625" style="279" customWidth="1"/>
    <col min="13573" max="13573" width="7.140625" style="279" customWidth="1"/>
    <col min="13574" max="13574" width="6.85546875" style="279" customWidth="1"/>
    <col min="13575" max="13575" width="11.7109375" style="279" customWidth="1"/>
    <col min="13576" max="13576" width="11.5703125" style="279" customWidth="1"/>
    <col min="13577" max="13577" width="9.140625" style="279"/>
    <col min="13578" max="13578" width="10.5703125" style="279" bestFit="1" customWidth="1"/>
    <col min="13579" max="13579" width="9.140625" style="279"/>
    <col min="13580" max="13580" width="12.140625" style="279" customWidth="1"/>
    <col min="13581" max="13822" width="9.140625" style="279"/>
    <col min="13823" max="13823" width="4" style="279" customWidth="1"/>
    <col min="13824" max="13824" width="10.5703125" style="279" customWidth="1"/>
    <col min="13825" max="13825" width="11.140625" style="279" customWidth="1"/>
    <col min="13826" max="13826" width="8.7109375" style="279" customWidth="1"/>
    <col min="13827" max="13827" width="8" style="279" customWidth="1"/>
    <col min="13828" max="13828" width="10.28515625" style="279" customWidth="1"/>
    <col min="13829" max="13829" width="7.140625" style="279" customWidth="1"/>
    <col min="13830" max="13830" width="6.85546875" style="279" customWidth="1"/>
    <col min="13831" max="13831" width="11.7109375" style="279" customWidth="1"/>
    <col min="13832" max="13832" width="11.5703125" style="279" customWidth="1"/>
    <col min="13833" max="13833" width="9.140625" style="279"/>
    <col min="13834" max="13834" width="10.5703125" style="279" bestFit="1" customWidth="1"/>
    <col min="13835" max="13835" width="9.140625" style="279"/>
    <col min="13836" max="13836" width="12.140625" style="279" customWidth="1"/>
    <col min="13837" max="14078" width="9.140625" style="279"/>
    <col min="14079" max="14079" width="4" style="279" customWidth="1"/>
    <col min="14080" max="14080" width="10.5703125" style="279" customWidth="1"/>
    <col min="14081" max="14081" width="11.140625" style="279" customWidth="1"/>
    <col min="14082" max="14082" width="8.7109375" style="279" customWidth="1"/>
    <col min="14083" max="14083" width="8" style="279" customWidth="1"/>
    <col min="14084" max="14084" width="10.28515625" style="279" customWidth="1"/>
    <col min="14085" max="14085" width="7.140625" style="279" customWidth="1"/>
    <col min="14086" max="14086" width="6.85546875" style="279" customWidth="1"/>
    <col min="14087" max="14087" width="11.7109375" style="279" customWidth="1"/>
    <col min="14088" max="14088" width="11.5703125" style="279" customWidth="1"/>
    <col min="14089" max="14089" width="9.140625" style="279"/>
    <col min="14090" max="14090" width="10.5703125" style="279" bestFit="1" customWidth="1"/>
    <col min="14091" max="14091" width="9.140625" style="279"/>
    <col min="14092" max="14092" width="12.140625" style="279" customWidth="1"/>
    <col min="14093" max="14334" width="9.140625" style="279"/>
    <col min="14335" max="14335" width="4" style="279" customWidth="1"/>
    <col min="14336" max="14336" width="10.5703125" style="279" customWidth="1"/>
    <col min="14337" max="14337" width="11.140625" style="279" customWidth="1"/>
    <col min="14338" max="14338" width="8.7109375" style="279" customWidth="1"/>
    <col min="14339" max="14339" width="8" style="279" customWidth="1"/>
    <col min="14340" max="14340" width="10.28515625" style="279" customWidth="1"/>
    <col min="14341" max="14341" width="7.140625" style="279" customWidth="1"/>
    <col min="14342" max="14342" width="6.85546875" style="279" customWidth="1"/>
    <col min="14343" max="14343" width="11.7109375" style="279" customWidth="1"/>
    <col min="14344" max="14344" width="11.5703125" style="279" customWidth="1"/>
    <col min="14345" max="14345" width="9.140625" style="279"/>
    <col min="14346" max="14346" width="10.5703125" style="279" bestFit="1" customWidth="1"/>
    <col min="14347" max="14347" width="9.140625" style="279"/>
    <col min="14348" max="14348" width="12.140625" style="279" customWidth="1"/>
    <col min="14349" max="14590" width="9.140625" style="279"/>
    <col min="14591" max="14591" width="4" style="279" customWidth="1"/>
    <col min="14592" max="14592" width="10.5703125" style="279" customWidth="1"/>
    <col min="14593" max="14593" width="11.140625" style="279" customWidth="1"/>
    <col min="14594" max="14594" width="8.7109375" style="279" customWidth="1"/>
    <col min="14595" max="14595" width="8" style="279" customWidth="1"/>
    <col min="14596" max="14596" width="10.28515625" style="279" customWidth="1"/>
    <col min="14597" max="14597" width="7.140625" style="279" customWidth="1"/>
    <col min="14598" max="14598" width="6.85546875" style="279" customWidth="1"/>
    <col min="14599" max="14599" width="11.7109375" style="279" customWidth="1"/>
    <col min="14600" max="14600" width="11.5703125" style="279" customWidth="1"/>
    <col min="14601" max="14601" width="9.140625" style="279"/>
    <col min="14602" max="14602" width="10.5703125" style="279" bestFit="1" customWidth="1"/>
    <col min="14603" max="14603" width="9.140625" style="279"/>
    <col min="14604" max="14604" width="12.140625" style="279" customWidth="1"/>
    <col min="14605" max="14846" width="9.140625" style="279"/>
    <col min="14847" max="14847" width="4" style="279" customWidth="1"/>
    <col min="14848" max="14848" width="10.5703125" style="279" customWidth="1"/>
    <col min="14849" max="14849" width="11.140625" style="279" customWidth="1"/>
    <col min="14850" max="14850" width="8.7109375" style="279" customWidth="1"/>
    <col min="14851" max="14851" width="8" style="279" customWidth="1"/>
    <col min="14852" max="14852" width="10.28515625" style="279" customWidth="1"/>
    <col min="14853" max="14853" width="7.140625" style="279" customWidth="1"/>
    <col min="14854" max="14854" width="6.85546875" style="279" customWidth="1"/>
    <col min="14855" max="14855" width="11.7109375" style="279" customWidth="1"/>
    <col min="14856" max="14856" width="11.5703125" style="279" customWidth="1"/>
    <col min="14857" max="14857" width="9.140625" style="279"/>
    <col min="14858" max="14858" width="10.5703125" style="279" bestFit="1" customWidth="1"/>
    <col min="14859" max="14859" width="9.140625" style="279"/>
    <col min="14860" max="14860" width="12.140625" style="279" customWidth="1"/>
    <col min="14861" max="15102" width="9.140625" style="279"/>
    <col min="15103" max="15103" width="4" style="279" customWidth="1"/>
    <col min="15104" max="15104" width="10.5703125" style="279" customWidth="1"/>
    <col min="15105" max="15105" width="11.140625" style="279" customWidth="1"/>
    <col min="15106" max="15106" width="8.7109375" style="279" customWidth="1"/>
    <col min="15107" max="15107" width="8" style="279" customWidth="1"/>
    <col min="15108" max="15108" width="10.28515625" style="279" customWidth="1"/>
    <col min="15109" max="15109" width="7.140625" style="279" customWidth="1"/>
    <col min="15110" max="15110" width="6.85546875" style="279" customWidth="1"/>
    <col min="15111" max="15111" width="11.7109375" style="279" customWidth="1"/>
    <col min="15112" max="15112" width="11.5703125" style="279" customWidth="1"/>
    <col min="15113" max="15113" width="9.140625" style="279"/>
    <col min="15114" max="15114" width="10.5703125" style="279" bestFit="1" customWidth="1"/>
    <col min="15115" max="15115" width="9.140625" style="279"/>
    <col min="15116" max="15116" width="12.140625" style="279" customWidth="1"/>
    <col min="15117" max="15358" width="9.140625" style="279"/>
    <col min="15359" max="15359" width="4" style="279" customWidth="1"/>
    <col min="15360" max="15360" width="10.5703125" style="279" customWidth="1"/>
    <col min="15361" max="15361" width="11.140625" style="279" customWidth="1"/>
    <col min="15362" max="15362" width="8.7109375" style="279" customWidth="1"/>
    <col min="15363" max="15363" width="8" style="279" customWidth="1"/>
    <col min="15364" max="15364" width="10.28515625" style="279" customWidth="1"/>
    <col min="15365" max="15365" width="7.140625" style="279" customWidth="1"/>
    <col min="15366" max="15366" width="6.85546875" style="279" customWidth="1"/>
    <col min="15367" max="15367" width="11.7109375" style="279" customWidth="1"/>
    <col min="15368" max="15368" width="11.5703125" style="279" customWidth="1"/>
    <col min="15369" max="15369" width="9.140625" style="279"/>
    <col min="15370" max="15370" width="10.5703125" style="279" bestFit="1" customWidth="1"/>
    <col min="15371" max="15371" width="9.140625" style="279"/>
    <col min="15372" max="15372" width="12.140625" style="279" customWidth="1"/>
    <col min="15373" max="15614" width="9.140625" style="279"/>
    <col min="15615" max="15615" width="4" style="279" customWidth="1"/>
    <col min="15616" max="15616" width="10.5703125" style="279" customWidth="1"/>
    <col min="15617" max="15617" width="11.140625" style="279" customWidth="1"/>
    <col min="15618" max="15618" width="8.7109375" style="279" customWidth="1"/>
    <col min="15619" max="15619" width="8" style="279" customWidth="1"/>
    <col min="15620" max="15620" width="10.28515625" style="279" customWidth="1"/>
    <col min="15621" max="15621" width="7.140625" style="279" customWidth="1"/>
    <col min="15622" max="15622" width="6.85546875" style="279" customWidth="1"/>
    <col min="15623" max="15623" width="11.7109375" style="279" customWidth="1"/>
    <col min="15624" max="15624" width="11.5703125" style="279" customWidth="1"/>
    <col min="15625" max="15625" width="9.140625" style="279"/>
    <col min="15626" max="15626" width="10.5703125" style="279" bestFit="1" customWidth="1"/>
    <col min="15627" max="15627" width="9.140625" style="279"/>
    <col min="15628" max="15628" width="12.140625" style="279" customWidth="1"/>
    <col min="15629" max="15870" width="9.140625" style="279"/>
    <col min="15871" max="15871" width="4" style="279" customWidth="1"/>
    <col min="15872" max="15872" width="10.5703125" style="279" customWidth="1"/>
    <col min="15873" max="15873" width="11.140625" style="279" customWidth="1"/>
    <col min="15874" max="15874" width="8.7109375" style="279" customWidth="1"/>
    <col min="15875" max="15875" width="8" style="279" customWidth="1"/>
    <col min="15876" max="15876" width="10.28515625" style="279" customWidth="1"/>
    <col min="15877" max="15877" width="7.140625" style="279" customWidth="1"/>
    <col min="15878" max="15878" width="6.85546875" style="279" customWidth="1"/>
    <col min="15879" max="15879" width="11.7109375" style="279" customWidth="1"/>
    <col min="15880" max="15880" width="11.5703125" style="279" customWidth="1"/>
    <col min="15881" max="15881" width="9.140625" style="279"/>
    <col min="15882" max="15882" width="10.5703125" style="279" bestFit="1" customWidth="1"/>
    <col min="15883" max="15883" width="9.140625" style="279"/>
    <col min="15884" max="15884" width="12.140625" style="279" customWidth="1"/>
    <col min="15885" max="16126" width="9.140625" style="279"/>
    <col min="16127" max="16127" width="4" style="279" customWidth="1"/>
    <col min="16128" max="16128" width="10.5703125" style="279" customWidth="1"/>
    <col min="16129" max="16129" width="11.140625" style="279" customWidth="1"/>
    <col min="16130" max="16130" width="8.7109375" style="279" customWidth="1"/>
    <col min="16131" max="16131" width="8" style="279" customWidth="1"/>
    <col min="16132" max="16132" width="10.28515625" style="279" customWidth="1"/>
    <col min="16133" max="16133" width="7.140625" style="279" customWidth="1"/>
    <col min="16134" max="16134" width="6.85546875" style="279" customWidth="1"/>
    <col min="16135" max="16135" width="11.7109375" style="279" customWidth="1"/>
    <col min="16136" max="16136" width="11.5703125" style="279" customWidth="1"/>
    <col min="16137" max="16137" width="9.140625" style="279"/>
    <col min="16138" max="16138" width="10.5703125" style="279" bestFit="1" customWidth="1"/>
    <col min="16139" max="16139" width="9.140625" style="279"/>
    <col min="16140" max="16140" width="12.140625" style="279" customWidth="1"/>
    <col min="16141" max="16384" width="9.140625" style="279"/>
  </cols>
  <sheetData>
    <row r="1" spans="1:11" x14ac:dyDescent="0.25">
      <c r="A1" s="1201" t="s">
        <v>524</v>
      </c>
      <c r="B1" s="1201"/>
      <c r="C1" s="1201"/>
      <c r="D1" s="1201"/>
      <c r="E1" s="1201"/>
      <c r="F1" s="1201"/>
      <c r="G1" s="1201"/>
      <c r="H1" s="1201"/>
    </row>
    <row r="3" spans="1:11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</row>
    <row r="4" spans="1:11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</row>
    <row r="5" spans="1:11" ht="15" customHeight="1" x14ac:dyDescent="0.25">
      <c r="A5" s="200"/>
      <c r="B5" s="200"/>
      <c r="C5" s="200"/>
      <c r="D5" s="200"/>
      <c r="E5" s="200"/>
      <c r="F5" s="200"/>
      <c r="G5" s="200"/>
      <c r="H5" s="202"/>
    </row>
    <row r="6" spans="1:11" ht="31.5" customHeight="1" x14ac:dyDescent="0.25">
      <c r="A6" s="1240" t="s">
        <v>860</v>
      </c>
      <c r="B6" s="1240"/>
      <c r="C6" s="1240"/>
      <c r="D6" s="1240"/>
      <c r="E6" s="1240"/>
      <c r="F6" s="1240"/>
      <c r="G6" s="1240"/>
      <c r="H6" s="1240"/>
    </row>
    <row r="7" spans="1:11" ht="24" customHeight="1" x14ac:dyDescent="0.25">
      <c r="A7" s="195" t="s">
        <v>258</v>
      </c>
      <c r="B7" s="733" t="s">
        <v>554</v>
      </c>
      <c r="C7" s="193" t="s">
        <v>343</v>
      </c>
      <c r="D7" s="195" t="s">
        <v>389</v>
      </c>
      <c r="E7" s="736" t="s">
        <v>862</v>
      </c>
      <c r="F7" s="733" t="s">
        <v>861</v>
      </c>
      <c r="G7" s="733" t="s">
        <v>467</v>
      </c>
      <c r="H7" s="195" t="s">
        <v>402</v>
      </c>
    </row>
    <row r="8" spans="1:11" x14ac:dyDescent="0.25">
      <c r="A8" s="196">
        <v>1</v>
      </c>
      <c r="B8" s="728">
        <v>2</v>
      </c>
      <c r="C8" s="196">
        <v>3</v>
      </c>
      <c r="D8" s="196">
        <v>4</v>
      </c>
      <c r="E8" s="740">
        <v>5</v>
      </c>
      <c r="F8" s="728">
        <v>7</v>
      </c>
      <c r="G8" s="728">
        <v>9</v>
      </c>
      <c r="H8" s="196">
        <v>10</v>
      </c>
    </row>
    <row r="9" spans="1:11" ht="36" x14ac:dyDescent="0.25">
      <c r="A9" s="421">
        <v>1</v>
      </c>
      <c r="B9" s="766" t="s">
        <v>863</v>
      </c>
      <c r="C9" s="422">
        <v>244</v>
      </c>
      <c r="D9" s="423"/>
      <c r="E9" s="767">
        <v>2</v>
      </c>
      <c r="F9" s="265">
        <v>24350</v>
      </c>
      <c r="G9" s="265">
        <f>F9*E9</f>
        <v>48700</v>
      </c>
      <c r="H9" s="424">
        <f>ROUND(G9/1000,1)</f>
        <v>48.7</v>
      </c>
    </row>
    <row r="10" spans="1:11" ht="36" x14ac:dyDescent="0.25">
      <c r="A10" s="553">
        <v>2</v>
      </c>
      <c r="B10" s="766" t="s">
        <v>669</v>
      </c>
      <c r="C10" s="551">
        <v>244</v>
      </c>
      <c r="D10" s="550"/>
      <c r="E10" s="767">
        <v>2</v>
      </c>
      <c r="F10" s="265">
        <v>25650</v>
      </c>
      <c r="G10" s="265">
        <f>F10*E10</f>
        <v>51300</v>
      </c>
      <c r="H10" s="552">
        <f>ROUND(G10/1000,1)</f>
        <v>51.3</v>
      </c>
    </row>
    <row r="11" spans="1:11" x14ac:dyDescent="0.25">
      <c r="A11" s="1223" t="s">
        <v>637</v>
      </c>
      <c r="B11" s="1223"/>
      <c r="C11" s="1223"/>
      <c r="D11" s="1223"/>
      <c r="E11" s="1223"/>
      <c r="F11" s="1223"/>
      <c r="G11" s="826">
        <f>SUM(G9:G10)</f>
        <v>100000</v>
      </c>
      <c r="H11" s="293">
        <f>SUM(H9:H10)</f>
        <v>100</v>
      </c>
    </row>
    <row r="14" spans="1:11" s="145" customFormat="1" x14ac:dyDescent="0.25">
      <c r="A14" s="1150" t="s">
        <v>397</v>
      </c>
      <c r="B14" s="1150"/>
      <c r="C14" s="168"/>
      <c r="D14" s="1151"/>
      <c r="E14" s="1151"/>
      <c r="G14" s="1151" t="str">
        <f>рВДЛ!G32</f>
        <v>М.В. Златова</v>
      </c>
      <c r="H14" s="1151"/>
      <c r="J14" s="146"/>
      <c r="K14" s="146"/>
    </row>
    <row r="15" spans="1:11" s="145" customFormat="1" x14ac:dyDescent="0.25">
      <c r="A15" s="1148" t="s">
        <v>329</v>
      </c>
      <c r="B15" s="1148"/>
      <c r="C15" s="169"/>
      <c r="D15" s="1148" t="s">
        <v>330</v>
      </c>
      <c r="E15" s="1148"/>
      <c r="G15" s="1149" t="s">
        <v>331</v>
      </c>
      <c r="H15" s="1149"/>
    </row>
    <row r="16" spans="1:11" s="145" customFormat="1" x14ac:dyDescent="0.25">
      <c r="A16" s="1150" t="str">
        <f>рВДЛ!A34</f>
        <v>Исполнитель: финансист</v>
      </c>
      <c r="B16" s="1150"/>
      <c r="C16" s="168"/>
      <c r="D16" s="1151"/>
      <c r="E16" s="1151"/>
      <c r="G16" s="1151" t="str">
        <f>рВДЛ!G34</f>
        <v>Е.Н. Рыбалка</v>
      </c>
      <c r="H16" s="1151"/>
    </row>
    <row r="17" spans="1:8" s="145" customFormat="1" x14ac:dyDescent="0.25">
      <c r="A17" s="1148" t="s">
        <v>329</v>
      </c>
      <c r="B17" s="1148"/>
      <c r="C17" s="169"/>
      <c r="D17" s="1148" t="s">
        <v>330</v>
      </c>
      <c r="E17" s="1148"/>
      <c r="G17" s="1149" t="s">
        <v>331</v>
      </c>
      <c r="H17" s="1149"/>
    </row>
  </sheetData>
  <mergeCells count="17">
    <mergeCell ref="A17:B17"/>
    <mergeCell ref="D17:E17"/>
    <mergeCell ref="G17:H17"/>
    <mergeCell ref="A15:B15"/>
    <mergeCell ref="D15:E15"/>
    <mergeCell ref="G15:H15"/>
    <mergeCell ref="A16:B16"/>
    <mergeCell ref="D16:E16"/>
    <mergeCell ref="G16:H16"/>
    <mergeCell ref="A11:F11"/>
    <mergeCell ref="A1:H1"/>
    <mergeCell ref="A14:B14"/>
    <mergeCell ref="D14:E14"/>
    <mergeCell ref="G14:H14"/>
    <mergeCell ref="A6:H6"/>
    <mergeCell ref="A3:H3"/>
    <mergeCell ref="A4:H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0"/>
  <sheetViews>
    <sheetView topLeftCell="A22" workbookViewId="0">
      <selection activeCell="B35" sqref="B35"/>
    </sheetView>
  </sheetViews>
  <sheetFormatPr defaultRowHeight="15" x14ac:dyDescent="0.25"/>
  <cols>
    <col min="1" max="1" width="14.85546875" style="279" customWidth="1"/>
    <col min="2" max="2" width="35" style="279" customWidth="1"/>
    <col min="3" max="3" width="15.140625" style="279" customWidth="1"/>
    <col min="4" max="4" width="16.5703125" style="279" customWidth="1"/>
    <col min="5" max="9" width="13.7109375" style="279" customWidth="1"/>
    <col min="10" max="11" width="11.7109375" style="279" customWidth="1"/>
    <col min="12" max="12" width="11.7109375" style="279" bestFit="1" customWidth="1"/>
    <col min="13" max="13" width="13" style="279" customWidth="1"/>
    <col min="14" max="14" width="12" style="279" customWidth="1"/>
    <col min="15" max="256" width="9.140625" style="279"/>
    <col min="257" max="257" width="14.85546875" style="279" customWidth="1"/>
    <col min="258" max="258" width="33.85546875" style="279" customWidth="1"/>
    <col min="259" max="259" width="15.140625" style="279" customWidth="1"/>
    <col min="260" max="260" width="15.28515625" style="279" customWidth="1"/>
    <col min="261" max="261" width="13.5703125" style="279" customWidth="1"/>
    <col min="262" max="262" width="12.42578125" style="279" customWidth="1"/>
    <col min="263" max="263" width="10.85546875" style="279" customWidth="1"/>
    <col min="264" max="267" width="11.7109375" style="279" customWidth="1"/>
    <col min="268" max="268" width="11.7109375" style="279" bestFit="1" customWidth="1"/>
    <col min="269" max="269" width="13" style="279" customWidth="1"/>
    <col min="270" max="270" width="12" style="279" customWidth="1"/>
    <col min="271" max="512" width="9.140625" style="279"/>
    <col min="513" max="513" width="14.85546875" style="279" customWidth="1"/>
    <col min="514" max="514" width="33.85546875" style="279" customWidth="1"/>
    <col min="515" max="515" width="15.140625" style="279" customWidth="1"/>
    <col min="516" max="516" width="15.28515625" style="279" customWidth="1"/>
    <col min="517" max="517" width="13.5703125" style="279" customWidth="1"/>
    <col min="518" max="518" width="12.42578125" style="279" customWidth="1"/>
    <col min="519" max="519" width="10.85546875" style="279" customWidth="1"/>
    <col min="520" max="523" width="11.7109375" style="279" customWidth="1"/>
    <col min="524" max="524" width="11.7109375" style="279" bestFit="1" customWidth="1"/>
    <col min="525" max="525" width="13" style="279" customWidth="1"/>
    <col min="526" max="526" width="12" style="279" customWidth="1"/>
    <col min="527" max="768" width="9.140625" style="279"/>
    <col min="769" max="769" width="14.85546875" style="279" customWidth="1"/>
    <col min="770" max="770" width="33.85546875" style="279" customWidth="1"/>
    <col min="771" max="771" width="15.140625" style="279" customWidth="1"/>
    <col min="772" max="772" width="15.28515625" style="279" customWidth="1"/>
    <col min="773" max="773" width="13.5703125" style="279" customWidth="1"/>
    <col min="774" max="774" width="12.42578125" style="279" customWidth="1"/>
    <col min="775" max="775" width="10.85546875" style="279" customWidth="1"/>
    <col min="776" max="779" width="11.7109375" style="279" customWidth="1"/>
    <col min="780" max="780" width="11.7109375" style="279" bestFit="1" customWidth="1"/>
    <col min="781" max="781" width="13" style="279" customWidth="1"/>
    <col min="782" max="782" width="12" style="279" customWidth="1"/>
    <col min="783" max="1024" width="9.140625" style="279"/>
    <col min="1025" max="1025" width="14.85546875" style="279" customWidth="1"/>
    <col min="1026" max="1026" width="33.85546875" style="279" customWidth="1"/>
    <col min="1027" max="1027" width="15.140625" style="279" customWidth="1"/>
    <col min="1028" max="1028" width="15.28515625" style="279" customWidth="1"/>
    <col min="1029" max="1029" width="13.5703125" style="279" customWidth="1"/>
    <col min="1030" max="1030" width="12.42578125" style="279" customWidth="1"/>
    <col min="1031" max="1031" width="10.85546875" style="279" customWidth="1"/>
    <col min="1032" max="1035" width="11.7109375" style="279" customWidth="1"/>
    <col min="1036" max="1036" width="11.7109375" style="279" bestFit="1" customWidth="1"/>
    <col min="1037" max="1037" width="13" style="279" customWidth="1"/>
    <col min="1038" max="1038" width="12" style="279" customWidth="1"/>
    <col min="1039" max="1280" width="9.140625" style="279"/>
    <col min="1281" max="1281" width="14.85546875" style="279" customWidth="1"/>
    <col min="1282" max="1282" width="33.85546875" style="279" customWidth="1"/>
    <col min="1283" max="1283" width="15.140625" style="279" customWidth="1"/>
    <col min="1284" max="1284" width="15.28515625" style="279" customWidth="1"/>
    <col min="1285" max="1285" width="13.5703125" style="279" customWidth="1"/>
    <col min="1286" max="1286" width="12.42578125" style="279" customWidth="1"/>
    <col min="1287" max="1287" width="10.85546875" style="279" customWidth="1"/>
    <col min="1288" max="1291" width="11.7109375" style="279" customWidth="1"/>
    <col min="1292" max="1292" width="11.7109375" style="279" bestFit="1" customWidth="1"/>
    <col min="1293" max="1293" width="13" style="279" customWidth="1"/>
    <col min="1294" max="1294" width="12" style="279" customWidth="1"/>
    <col min="1295" max="1536" width="9.140625" style="279"/>
    <col min="1537" max="1537" width="14.85546875" style="279" customWidth="1"/>
    <col min="1538" max="1538" width="33.85546875" style="279" customWidth="1"/>
    <col min="1539" max="1539" width="15.140625" style="279" customWidth="1"/>
    <col min="1540" max="1540" width="15.28515625" style="279" customWidth="1"/>
    <col min="1541" max="1541" width="13.5703125" style="279" customWidth="1"/>
    <col min="1542" max="1542" width="12.42578125" style="279" customWidth="1"/>
    <col min="1543" max="1543" width="10.85546875" style="279" customWidth="1"/>
    <col min="1544" max="1547" width="11.7109375" style="279" customWidth="1"/>
    <col min="1548" max="1548" width="11.7109375" style="279" bestFit="1" customWidth="1"/>
    <col min="1549" max="1549" width="13" style="279" customWidth="1"/>
    <col min="1550" max="1550" width="12" style="279" customWidth="1"/>
    <col min="1551" max="1792" width="9.140625" style="279"/>
    <col min="1793" max="1793" width="14.85546875" style="279" customWidth="1"/>
    <col min="1794" max="1794" width="33.85546875" style="279" customWidth="1"/>
    <col min="1795" max="1795" width="15.140625" style="279" customWidth="1"/>
    <col min="1796" max="1796" width="15.28515625" style="279" customWidth="1"/>
    <col min="1797" max="1797" width="13.5703125" style="279" customWidth="1"/>
    <col min="1798" max="1798" width="12.42578125" style="279" customWidth="1"/>
    <col min="1799" max="1799" width="10.85546875" style="279" customWidth="1"/>
    <col min="1800" max="1803" width="11.7109375" style="279" customWidth="1"/>
    <col min="1804" max="1804" width="11.7109375" style="279" bestFit="1" customWidth="1"/>
    <col min="1805" max="1805" width="13" style="279" customWidth="1"/>
    <col min="1806" max="1806" width="12" style="279" customWidth="1"/>
    <col min="1807" max="2048" width="9.140625" style="279"/>
    <col min="2049" max="2049" width="14.85546875" style="279" customWidth="1"/>
    <col min="2050" max="2050" width="33.85546875" style="279" customWidth="1"/>
    <col min="2051" max="2051" width="15.140625" style="279" customWidth="1"/>
    <col min="2052" max="2052" width="15.28515625" style="279" customWidth="1"/>
    <col min="2053" max="2053" width="13.5703125" style="279" customWidth="1"/>
    <col min="2054" max="2054" width="12.42578125" style="279" customWidth="1"/>
    <col min="2055" max="2055" width="10.85546875" style="279" customWidth="1"/>
    <col min="2056" max="2059" width="11.7109375" style="279" customWidth="1"/>
    <col min="2060" max="2060" width="11.7109375" style="279" bestFit="1" customWidth="1"/>
    <col min="2061" max="2061" width="13" style="279" customWidth="1"/>
    <col min="2062" max="2062" width="12" style="279" customWidth="1"/>
    <col min="2063" max="2304" width="9.140625" style="279"/>
    <col min="2305" max="2305" width="14.85546875" style="279" customWidth="1"/>
    <col min="2306" max="2306" width="33.85546875" style="279" customWidth="1"/>
    <col min="2307" max="2307" width="15.140625" style="279" customWidth="1"/>
    <col min="2308" max="2308" width="15.28515625" style="279" customWidth="1"/>
    <col min="2309" max="2309" width="13.5703125" style="279" customWidth="1"/>
    <col min="2310" max="2310" width="12.42578125" style="279" customWidth="1"/>
    <col min="2311" max="2311" width="10.85546875" style="279" customWidth="1"/>
    <col min="2312" max="2315" width="11.7109375" style="279" customWidth="1"/>
    <col min="2316" max="2316" width="11.7109375" style="279" bestFit="1" customWidth="1"/>
    <col min="2317" max="2317" width="13" style="279" customWidth="1"/>
    <col min="2318" max="2318" width="12" style="279" customWidth="1"/>
    <col min="2319" max="2560" width="9.140625" style="279"/>
    <col min="2561" max="2561" width="14.85546875" style="279" customWidth="1"/>
    <col min="2562" max="2562" width="33.85546875" style="279" customWidth="1"/>
    <col min="2563" max="2563" width="15.140625" style="279" customWidth="1"/>
    <col min="2564" max="2564" width="15.28515625" style="279" customWidth="1"/>
    <col min="2565" max="2565" width="13.5703125" style="279" customWidth="1"/>
    <col min="2566" max="2566" width="12.42578125" style="279" customWidth="1"/>
    <col min="2567" max="2567" width="10.85546875" style="279" customWidth="1"/>
    <col min="2568" max="2571" width="11.7109375" style="279" customWidth="1"/>
    <col min="2572" max="2572" width="11.7109375" style="279" bestFit="1" customWidth="1"/>
    <col min="2573" max="2573" width="13" style="279" customWidth="1"/>
    <col min="2574" max="2574" width="12" style="279" customWidth="1"/>
    <col min="2575" max="2816" width="9.140625" style="279"/>
    <col min="2817" max="2817" width="14.85546875" style="279" customWidth="1"/>
    <col min="2818" max="2818" width="33.85546875" style="279" customWidth="1"/>
    <col min="2819" max="2819" width="15.140625" style="279" customWidth="1"/>
    <col min="2820" max="2820" width="15.28515625" style="279" customWidth="1"/>
    <col min="2821" max="2821" width="13.5703125" style="279" customWidth="1"/>
    <col min="2822" max="2822" width="12.42578125" style="279" customWidth="1"/>
    <col min="2823" max="2823" width="10.85546875" style="279" customWidth="1"/>
    <col min="2824" max="2827" width="11.7109375" style="279" customWidth="1"/>
    <col min="2828" max="2828" width="11.7109375" style="279" bestFit="1" customWidth="1"/>
    <col min="2829" max="2829" width="13" style="279" customWidth="1"/>
    <col min="2830" max="2830" width="12" style="279" customWidth="1"/>
    <col min="2831" max="3072" width="9.140625" style="279"/>
    <col min="3073" max="3073" width="14.85546875" style="279" customWidth="1"/>
    <col min="3074" max="3074" width="33.85546875" style="279" customWidth="1"/>
    <col min="3075" max="3075" width="15.140625" style="279" customWidth="1"/>
    <col min="3076" max="3076" width="15.28515625" style="279" customWidth="1"/>
    <col min="3077" max="3077" width="13.5703125" style="279" customWidth="1"/>
    <col min="3078" max="3078" width="12.42578125" style="279" customWidth="1"/>
    <col min="3079" max="3079" width="10.85546875" style="279" customWidth="1"/>
    <col min="3080" max="3083" width="11.7109375" style="279" customWidth="1"/>
    <col min="3084" max="3084" width="11.7109375" style="279" bestFit="1" customWidth="1"/>
    <col min="3085" max="3085" width="13" style="279" customWidth="1"/>
    <col min="3086" max="3086" width="12" style="279" customWidth="1"/>
    <col min="3087" max="3328" width="9.140625" style="279"/>
    <col min="3329" max="3329" width="14.85546875" style="279" customWidth="1"/>
    <col min="3330" max="3330" width="33.85546875" style="279" customWidth="1"/>
    <col min="3331" max="3331" width="15.140625" style="279" customWidth="1"/>
    <col min="3332" max="3332" width="15.28515625" style="279" customWidth="1"/>
    <col min="3333" max="3333" width="13.5703125" style="279" customWidth="1"/>
    <col min="3334" max="3334" width="12.42578125" style="279" customWidth="1"/>
    <col min="3335" max="3335" width="10.85546875" style="279" customWidth="1"/>
    <col min="3336" max="3339" width="11.7109375" style="279" customWidth="1"/>
    <col min="3340" max="3340" width="11.7109375" style="279" bestFit="1" customWidth="1"/>
    <col min="3341" max="3341" width="13" style="279" customWidth="1"/>
    <col min="3342" max="3342" width="12" style="279" customWidth="1"/>
    <col min="3343" max="3584" width="9.140625" style="279"/>
    <col min="3585" max="3585" width="14.85546875" style="279" customWidth="1"/>
    <col min="3586" max="3586" width="33.85546875" style="279" customWidth="1"/>
    <col min="3587" max="3587" width="15.140625" style="279" customWidth="1"/>
    <col min="3588" max="3588" width="15.28515625" style="279" customWidth="1"/>
    <col min="3589" max="3589" width="13.5703125" style="279" customWidth="1"/>
    <col min="3590" max="3590" width="12.42578125" style="279" customWidth="1"/>
    <col min="3591" max="3591" width="10.85546875" style="279" customWidth="1"/>
    <col min="3592" max="3595" width="11.7109375" style="279" customWidth="1"/>
    <col min="3596" max="3596" width="11.7109375" style="279" bestFit="1" customWidth="1"/>
    <col min="3597" max="3597" width="13" style="279" customWidth="1"/>
    <col min="3598" max="3598" width="12" style="279" customWidth="1"/>
    <col min="3599" max="3840" width="9.140625" style="279"/>
    <col min="3841" max="3841" width="14.85546875" style="279" customWidth="1"/>
    <col min="3842" max="3842" width="33.85546875" style="279" customWidth="1"/>
    <col min="3843" max="3843" width="15.140625" style="279" customWidth="1"/>
    <col min="3844" max="3844" width="15.28515625" style="279" customWidth="1"/>
    <col min="3845" max="3845" width="13.5703125" style="279" customWidth="1"/>
    <col min="3846" max="3846" width="12.42578125" style="279" customWidth="1"/>
    <col min="3847" max="3847" width="10.85546875" style="279" customWidth="1"/>
    <col min="3848" max="3851" width="11.7109375" style="279" customWidth="1"/>
    <col min="3852" max="3852" width="11.7109375" style="279" bestFit="1" customWidth="1"/>
    <col min="3853" max="3853" width="13" style="279" customWidth="1"/>
    <col min="3854" max="3854" width="12" style="279" customWidth="1"/>
    <col min="3855" max="4096" width="9.140625" style="279"/>
    <col min="4097" max="4097" width="14.85546875" style="279" customWidth="1"/>
    <col min="4098" max="4098" width="33.85546875" style="279" customWidth="1"/>
    <col min="4099" max="4099" width="15.140625" style="279" customWidth="1"/>
    <col min="4100" max="4100" width="15.28515625" style="279" customWidth="1"/>
    <col min="4101" max="4101" width="13.5703125" style="279" customWidth="1"/>
    <col min="4102" max="4102" width="12.42578125" style="279" customWidth="1"/>
    <col min="4103" max="4103" width="10.85546875" style="279" customWidth="1"/>
    <col min="4104" max="4107" width="11.7109375" style="279" customWidth="1"/>
    <col min="4108" max="4108" width="11.7109375" style="279" bestFit="1" customWidth="1"/>
    <col min="4109" max="4109" width="13" style="279" customWidth="1"/>
    <col min="4110" max="4110" width="12" style="279" customWidth="1"/>
    <col min="4111" max="4352" width="9.140625" style="279"/>
    <col min="4353" max="4353" width="14.85546875" style="279" customWidth="1"/>
    <col min="4354" max="4354" width="33.85546875" style="279" customWidth="1"/>
    <col min="4355" max="4355" width="15.140625" style="279" customWidth="1"/>
    <col min="4356" max="4356" width="15.28515625" style="279" customWidth="1"/>
    <col min="4357" max="4357" width="13.5703125" style="279" customWidth="1"/>
    <col min="4358" max="4358" width="12.42578125" style="279" customWidth="1"/>
    <col min="4359" max="4359" width="10.85546875" style="279" customWidth="1"/>
    <col min="4360" max="4363" width="11.7109375" style="279" customWidth="1"/>
    <col min="4364" max="4364" width="11.7109375" style="279" bestFit="1" customWidth="1"/>
    <col min="4365" max="4365" width="13" style="279" customWidth="1"/>
    <col min="4366" max="4366" width="12" style="279" customWidth="1"/>
    <col min="4367" max="4608" width="9.140625" style="279"/>
    <col min="4609" max="4609" width="14.85546875" style="279" customWidth="1"/>
    <col min="4610" max="4610" width="33.85546875" style="279" customWidth="1"/>
    <col min="4611" max="4611" width="15.140625" style="279" customWidth="1"/>
    <col min="4612" max="4612" width="15.28515625" style="279" customWidth="1"/>
    <col min="4613" max="4613" width="13.5703125" style="279" customWidth="1"/>
    <col min="4614" max="4614" width="12.42578125" style="279" customWidth="1"/>
    <col min="4615" max="4615" width="10.85546875" style="279" customWidth="1"/>
    <col min="4616" max="4619" width="11.7109375" style="279" customWidth="1"/>
    <col min="4620" max="4620" width="11.7109375" style="279" bestFit="1" customWidth="1"/>
    <col min="4621" max="4621" width="13" style="279" customWidth="1"/>
    <col min="4622" max="4622" width="12" style="279" customWidth="1"/>
    <col min="4623" max="4864" width="9.140625" style="279"/>
    <col min="4865" max="4865" width="14.85546875" style="279" customWidth="1"/>
    <col min="4866" max="4866" width="33.85546875" style="279" customWidth="1"/>
    <col min="4867" max="4867" width="15.140625" style="279" customWidth="1"/>
    <col min="4868" max="4868" width="15.28515625" style="279" customWidth="1"/>
    <col min="4869" max="4869" width="13.5703125" style="279" customWidth="1"/>
    <col min="4870" max="4870" width="12.42578125" style="279" customWidth="1"/>
    <col min="4871" max="4871" width="10.85546875" style="279" customWidth="1"/>
    <col min="4872" max="4875" width="11.7109375" style="279" customWidth="1"/>
    <col min="4876" max="4876" width="11.7109375" style="279" bestFit="1" customWidth="1"/>
    <col min="4877" max="4877" width="13" style="279" customWidth="1"/>
    <col min="4878" max="4878" width="12" style="279" customWidth="1"/>
    <col min="4879" max="5120" width="9.140625" style="279"/>
    <col min="5121" max="5121" width="14.85546875" style="279" customWidth="1"/>
    <col min="5122" max="5122" width="33.85546875" style="279" customWidth="1"/>
    <col min="5123" max="5123" width="15.140625" style="279" customWidth="1"/>
    <col min="5124" max="5124" width="15.28515625" style="279" customWidth="1"/>
    <col min="5125" max="5125" width="13.5703125" style="279" customWidth="1"/>
    <col min="5126" max="5126" width="12.42578125" style="279" customWidth="1"/>
    <col min="5127" max="5127" width="10.85546875" style="279" customWidth="1"/>
    <col min="5128" max="5131" width="11.7109375" style="279" customWidth="1"/>
    <col min="5132" max="5132" width="11.7109375" style="279" bestFit="1" customWidth="1"/>
    <col min="5133" max="5133" width="13" style="279" customWidth="1"/>
    <col min="5134" max="5134" width="12" style="279" customWidth="1"/>
    <col min="5135" max="5376" width="9.140625" style="279"/>
    <col min="5377" max="5377" width="14.85546875" style="279" customWidth="1"/>
    <col min="5378" max="5378" width="33.85546875" style="279" customWidth="1"/>
    <col min="5379" max="5379" width="15.140625" style="279" customWidth="1"/>
    <col min="5380" max="5380" width="15.28515625" style="279" customWidth="1"/>
    <col min="5381" max="5381" width="13.5703125" style="279" customWidth="1"/>
    <col min="5382" max="5382" width="12.42578125" style="279" customWidth="1"/>
    <col min="5383" max="5383" width="10.85546875" style="279" customWidth="1"/>
    <col min="5384" max="5387" width="11.7109375" style="279" customWidth="1"/>
    <col min="5388" max="5388" width="11.7109375" style="279" bestFit="1" customWidth="1"/>
    <col min="5389" max="5389" width="13" style="279" customWidth="1"/>
    <col min="5390" max="5390" width="12" style="279" customWidth="1"/>
    <col min="5391" max="5632" width="9.140625" style="279"/>
    <col min="5633" max="5633" width="14.85546875" style="279" customWidth="1"/>
    <col min="5634" max="5634" width="33.85546875" style="279" customWidth="1"/>
    <col min="5635" max="5635" width="15.140625" style="279" customWidth="1"/>
    <col min="5636" max="5636" width="15.28515625" style="279" customWidth="1"/>
    <col min="5637" max="5637" width="13.5703125" style="279" customWidth="1"/>
    <col min="5638" max="5638" width="12.42578125" style="279" customWidth="1"/>
    <col min="5639" max="5639" width="10.85546875" style="279" customWidth="1"/>
    <col min="5640" max="5643" width="11.7109375" style="279" customWidth="1"/>
    <col min="5644" max="5644" width="11.7109375" style="279" bestFit="1" customWidth="1"/>
    <col min="5645" max="5645" width="13" style="279" customWidth="1"/>
    <col min="5646" max="5646" width="12" style="279" customWidth="1"/>
    <col min="5647" max="5888" width="9.140625" style="279"/>
    <col min="5889" max="5889" width="14.85546875" style="279" customWidth="1"/>
    <col min="5890" max="5890" width="33.85546875" style="279" customWidth="1"/>
    <col min="5891" max="5891" width="15.140625" style="279" customWidth="1"/>
    <col min="5892" max="5892" width="15.28515625" style="279" customWidth="1"/>
    <col min="5893" max="5893" width="13.5703125" style="279" customWidth="1"/>
    <col min="5894" max="5894" width="12.42578125" style="279" customWidth="1"/>
    <col min="5895" max="5895" width="10.85546875" style="279" customWidth="1"/>
    <col min="5896" max="5899" width="11.7109375" style="279" customWidth="1"/>
    <col min="5900" max="5900" width="11.7109375" style="279" bestFit="1" customWidth="1"/>
    <col min="5901" max="5901" width="13" style="279" customWidth="1"/>
    <col min="5902" max="5902" width="12" style="279" customWidth="1"/>
    <col min="5903" max="6144" width="9.140625" style="279"/>
    <col min="6145" max="6145" width="14.85546875" style="279" customWidth="1"/>
    <col min="6146" max="6146" width="33.85546875" style="279" customWidth="1"/>
    <col min="6147" max="6147" width="15.140625" style="279" customWidth="1"/>
    <col min="6148" max="6148" width="15.28515625" style="279" customWidth="1"/>
    <col min="6149" max="6149" width="13.5703125" style="279" customWidth="1"/>
    <col min="6150" max="6150" width="12.42578125" style="279" customWidth="1"/>
    <col min="6151" max="6151" width="10.85546875" style="279" customWidth="1"/>
    <col min="6152" max="6155" width="11.7109375" style="279" customWidth="1"/>
    <col min="6156" max="6156" width="11.7109375" style="279" bestFit="1" customWidth="1"/>
    <col min="6157" max="6157" width="13" style="279" customWidth="1"/>
    <col min="6158" max="6158" width="12" style="279" customWidth="1"/>
    <col min="6159" max="6400" width="9.140625" style="279"/>
    <col min="6401" max="6401" width="14.85546875" style="279" customWidth="1"/>
    <col min="6402" max="6402" width="33.85546875" style="279" customWidth="1"/>
    <col min="6403" max="6403" width="15.140625" style="279" customWidth="1"/>
    <col min="6404" max="6404" width="15.28515625" style="279" customWidth="1"/>
    <col min="6405" max="6405" width="13.5703125" style="279" customWidth="1"/>
    <col min="6406" max="6406" width="12.42578125" style="279" customWidth="1"/>
    <col min="6407" max="6407" width="10.85546875" style="279" customWidth="1"/>
    <col min="6408" max="6411" width="11.7109375" style="279" customWidth="1"/>
    <col min="6412" max="6412" width="11.7109375" style="279" bestFit="1" customWidth="1"/>
    <col min="6413" max="6413" width="13" style="279" customWidth="1"/>
    <col min="6414" max="6414" width="12" style="279" customWidth="1"/>
    <col min="6415" max="6656" width="9.140625" style="279"/>
    <col min="6657" max="6657" width="14.85546875" style="279" customWidth="1"/>
    <col min="6658" max="6658" width="33.85546875" style="279" customWidth="1"/>
    <col min="6659" max="6659" width="15.140625" style="279" customWidth="1"/>
    <col min="6660" max="6660" width="15.28515625" style="279" customWidth="1"/>
    <col min="6661" max="6661" width="13.5703125" style="279" customWidth="1"/>
    <col min="6662" max="6662" width="12.42578125" style="279" customWidth="1"/>
    <col min="6663" max="6663" width="10.85546875" style="279" customWidth="1"/>
    <col min="6664" max="6667" width="11.7109375" style="279" customWidth="1"/>
    <col min="6668" max="6668" width="11.7109375" style="279" bestFit="1" customWidth="1"/>
    <col min="6669" max="6669" width="13" style="279" customWidth="1"/>
    <col min="6670" max="6670" width="12" style="279" customWidth="1"/>
    <col min="6671" max="6912" width="9.140625" style="279"/>
    <col min="6913" max="6913" width="14.85546875" style="279" customWidth="1"/>
    <col min="6914" max="6914" width="33.85546875" style="279" customWidth="1"/>
    <col min="6915" max="6915" width="15.140625" style="279" customWidth="1"/>
    <col min="6916" max="6916" width="15.28515625" style="279" customWidth="1"/>
    <col min="6917" max="6917" width="13.5703125" style="279" customWidth="1"/>
    <col min="6918" max="6918" width="12.42578125" style="279" customWidth="1"/>
    <col min="6919" max="6919" width="10.85546875" style="279" customWidth="1"/>
    <col min="6920" max="6923" width="11.7109375" style="279" customWidth="1"/>
    <col min="6924" max="6924" width="11.7109375" style="279" bestFit="1" customWidth="1"/>
    <col min="6925" max="6925" width="13" style="279" customWidth="1"/>
    <col min="6926" max="6926" width="12" style="279" customWidth="1"/>
    <col min="6927" max="7168" width="9.140625" style="279"/>
    <col min="7169" max="7169" width="14.85546875" style="279" customWidth="1"/>
    <col min="7170" max="7170" width="33.85546875" style="279" customWidth="1"/>
    <col min="7171" max="7171" width="15.140625" style="279" customWidth="1"/>
    <col min="7172" max="7172" width="15.28515625" style="279" customWidth="1"/>
    <col min="7173" max="7173" width="13.5703125" style="279" customWidth="1"/>
    <col min="7174" max="7174" width="12.42578125" style="279" customWidth="1"/>
    <col min="7175" max="7175" width="10.85546875" style="279" customWidth="1"/>
    <col min="7176" max="7179" width="11.7109375" style="279" customWidth="1"/>
    <col min="7180" max="7180" width="11.7109375" style="279" bestFit="1" customWidth="1"/>
    <col min="7181" max="7181" width="13" style="279" customWidth="1"/>
    <col min="7182" max="7182" width="12" style="279" customWidth="1"/>
    <col min="7183" max="7424" width="9.140625" style="279"/>
    <col min="7425" max="7425" width="14.85546875" style="279" customWidth="1"/>
    <col min="7426" max="7426" width="33.85546875" style="279" customWidth="1"/>
    <col min="7427" max="7427" width="15.140625" style="279" customWidth="1"/>
    <col min="7428" max="7428" width="15.28515625" style="279" customWidth="1"/>
    <col min="7429" max="7429" width="13.5703125" style="279" customWidth="1"/>
    <col min="7430" max="7430" width="12.42578125" style="279" customWidth="1"/>
    <col min="7431" max="7431" width="10.85546875" style="279" customWidth="1"/>
    <col min="7432" max="7435" width="11.7109375" style="279" customWidth="1"/>
    <col min="7436" max="7436" width="11.7109375" style="279" bestFit="1" customWidth="1"/>
    <col min="7437" max="7437" width="13" style="279" customWidth="1"/>
    <col min="7438" max="7438" width="12" style="279" customWidth="1"/>
    <col min="7439" max="7680" width="9.140625" style="279"/>
    <col min="7681" max="7681" width="14.85546875" style="279" customWidth="1"/>
    <col min="7682" max="7682" width="33.85546875" style="279" customWidth="1"/>
    <col min="7683" max="7683" width="15.140625" style="279" customWidth="1"/>
    <col min="7684" max="7684" width="15.28515625" style="279" customWidth="1"/>
    <col min="7685" max="7685" width="13.5703125" style="279" customWidth="1"/>
    <col min="7686" max="7686" width="12.42578125" style="279" customWidth="1"/>
    <col min="7687" max="7687" width="10.85546875" style="279" customWidth="1"/>
    <col min="7688" max="7691" width="11.7109375" style="279" customWidth="1"/>
    <col min="7692" max="7692" width="11.7109375" style="279" bestFit="1" customWidth="1"/>
    <col min="7693" max="7693" width="13" style="279" customWidth="1"/>
    <col min="7694" max="7694" width="12" style="279" customWidth="1"/>
    <col min="7695" max="7936" width="9.140625" style="279"/>
    <col min="7937" max="7937" width="14.85546875" style="279" customWidth="1"/>
    <col min="7938" max="7938" width="33.85546875" style="279" customWidth="1"/>
    <col min="7939" max="7939" width="15.140625" style="279" customWidth="1"/>
    <col min="7940" max="7940" width="15.28515625" style="279" customWidth="1"/>
    <col min="7941" max="7941" width="13.5703125" style="279" customWidth="1"/>
    <col min="7942" max="7942" width="12.42578125" style="279" customWidth="1"/>
    <col min="7943" max="7943" width="10.85546875" style="279" customWidth="1"/>
    <col min="7944" max="7947" width="11.7109375" style="279" customWidth="1"/>
    <col min="7948" max="7948" width="11.7109375" style="279" bestFit="1" customWidth="1"/>
    <col min="7949" max="7949" width="13" style="279" customWidth="1"/>
    <col min="7950" max="7950" width="12" style="279" customWidth="1"/>
    <col min="7951" max="8192" width="9.140625" style="279"/>
    <col min="8193" max="8193" width="14.85546875" style="279" customWidth="1"/>
    <col min="8194" max="8194" width="33.85546875" style="279" customWidth="1"/>
    <col min="8195" max="8195" width="15.140625" style="279" customWidth="1"/>
    <col min="8196" max="8196" width="15.28515625" style="279" customWidth="1"/>
    <col min="8197" max="8197" width="13.5703125" style="279" customWidth="1"/>
    <col min="8198" max="8198" width="12.42578125" style="279" customWidth="1"/>
    <col min="8199" max="8199" width="10.85546875" style="279" customWidth="1"/>
    <col min="8200" max="8203" width="11.7109375" style="279" customWidth="1"/>
    <col min="8204" max="8204" width="11.7109375" style="279" bestFit="1" customWidth="1"/>
    <col min="8205" max="8205" width="13" style="279" customWidth="1"/>
    <col min="8206" max="8206" width="12" style="279" customWidth="1"/>
    <col min="8207" max="8448" width="9.140625" style="279"/>
    <col min="8449" max="8449" width="14.85546875" style="279" customWidth="1"/>
    <col min="8450" max="8450" width="33.85546875" style="279" customWidth="1"/>
    <col min="8451" max="8451" width="15.140625" style="279" customWidth="1"/>
    <col min="8452" max="8452" width="15.28515625" style="279" customWidth="1"/>
    <col min="8453" max="8453" width="13.5703125" style="279" customWidth="1"/>
    <col min="8454" max="8454" width="12.42578125" style="279" customWidth="1"/>
    <col min="8455" max="8455" width="10.85546875" style="279" customWidth="1"/>
    <col min="8456" max="8459" width="11.7109375" style="279" customWidth="1"/>
    <col min="8460" max="8460" width="11.7109375" style="279" bestFit="1" customWidth="1"/>
    <col min="8461" max="8461" width="13" style="279" customWidth="1"/>
    <col min="8462" max="8462" width="12" style="279" customWidth="1"/>
    <col min="8463" max="8704" width="9.140625" style="279"/>
    <col min="8705" max="8705" width="14.85546875" style="279" customWidth="1"/>
    <col min="8706" max="8706" width="33.85546875" style="279" customWidth="1"/>
    <col min="8707" max="8707" width="15.140625" style="279" customWidth="1"/>
    <col min="8708" max="8708" width="15.28515625" style="279" customWidth="1"/>
    <col min="8709" max="8709" width="13.5703125" style="279" customWidth="1"/>
    <col min="8710" max="8710" width="12.42578125" style="279" customWidth="1"/>
    <col min="8711" max="8711" width="10.85546875" style="279" customWidth="1"/>
    <col min="8712" max="8715" width="11.7109375" style="279" customWidth="1"/>
    <col min="8716" max="8716" width="11.7109375" style="279" bestFit="1" customWidth="1"/>
    <col min="8717" max="8717" width="13" style="279" customWidth="1"/>
    <col min="8718" max="8718" width="12" style="279" customWidth="1"/>
    <col min="8719" max="8960" width="9.140625" style="279"/>
    <col min="8961" max="8961" width="14.85546875" style="279" customWidth="1"/>
    <col min="8962" max="8962" width="33.85546875" style="279" customWidth="1"/>
    <col min="8963" max="8963" width="15.140625" style="279" customWidth="1"/>
    <col min="8964" max="8964" width="15.28515625" style="279" customWidth="1"/>
    <col min="8965" max="8965" width="13.5703125" style="279" customWidth="1"/>
    <col min="8966" max="8966" width="12.42578125" style="279" customWidth="1"/>
    <col min="8967" max="8967" width="10.85546875" style="279" customWidth="1"/>
    <col min="8968" max="8971" width="11.7109375" style="279" customWidth="1"/>
    <col min="8972" max="8972" width="11.7109375" style="279" bestFit="1" customWidth="1"/>
    <col min="8973" max="8973" width="13" style="279" customWidth="1"/>
    <col min="8974" max="8974" width="12" style="279" customWidth="1"/>
    <col min="8975" max="9216" width="9.140625" style="279"/>
    <col min="9217" max="9217" width="14.85546875" style="279" customWidth="1"/>
    <col min="9218" max="9218" width="33.85546875" style="279" customWidth="1"/>
    <col min="9219" max="9219" width="15.140625" style="279" customWidth="1"/>
    <col min="9220" max="9220" width="15.28515625" style="279" customWidth="1"/>
    <col min="9221" max="9221" width="13.5703125" style="279" customWidth="1"/>
    <col min="9222" max="9222" width="12.42578125" style="279" customWidth="1"/>
    <col min="9223" max="9223" width="10.85546875" style="279" customWidth="1"/>
    <col min="9224" max="9227" width="11.7109375" style="279" customWidth="1"/>
    <col min="9228" max="9228" width="11.7109375" style="279" bestFit="1" customWidth="1"/>
    <col min="9229" max="9229" width="13" style="279" customWidth="1"/>
    <col min="9230" max="9230" width="12" style="279" customWidth="1"/>
    <col min="9231" max="9472" width="9.140625" style="279"/>
    <col min="9473" max="9473" width="14.85546875" style="279" customWidth="1"/>
    <col min="9474" max="9474" width="33.85546875" style="279" customWidth="1"/>
    <col min="9475" max="9475" width="15.140625" style="279" customWidth="1"/>
    <col min="9476" max="9476" width="15.28515625" style="279" customWidth="1"/>
    <col min="9477" max="9477" width="13.5703125" style="279" customWidth="1"/>
    <col min="9478" max="9478" width="12.42578125" style="279" customWidth="1"/>
    <col min="9479" max="9479" width="10.85546875" style="279" customWidth="1"/>
    <col min="9480" max="9483" width="11.7109375" style="279" customWidth="1"/>
    <col min="9484" max="9484" width="11.7109375" style="279" bestFit="1" customWidth="1"/>
    <col min="9485" max="9485" width="13" style="279" customWidth="1"/>
    <col min="9486" max="9486" width="12" style="279" customWidth="1"/>
    <col min="9487" max="9728" width="9.140625" style="279"/>
    <col min="9729" max="9729" width="14.85546875" style="279" customWidth="1"/>
    <col min="9730" max="9730" width="33.85546875" style="279" customWidth="1"/>
    <col min="9731" max="9731" width="15.140625" style="279" customWidth="1"/>
    <col min="9732" max="9732" width="15.28515625" style="279" customWidth="1"/>
    <col min="9733" max="9733" width="13.5703125" style="279" customWidth="1"/>
    <col min="9734" max="9734" width="12.42578125" style="279" customWidth="1"/>
    <col min="9735" max="9735" width="10.85546875" style="279" customWidth="1"/>
    <col min="9736" max="9739" width="11.7109375" style="279" customWidth="1"/>
    <col min="9740" max="9740" width="11.7109375" style="279" bestFit="1" customWidth="1"/>
    <col min="9741" max="9741" width="13" style="279" customWidth="1"/>
    <col min="9742" max="9742" width="12" style="279" customWidth="1"/>
    <col min="9743" max="9984" width="9.140625" style="279"/>
    <col min="9985" max="9985" width="14.85546875" style="279" customWidth="1"/>
    <col min="9986" max="9986" width="33.85546875" style="279" customWidth="1"/>
    <col min="9987" max="9987" width="15.140625" style="279" customWidth="1"/>
    <col min="9988" max="9988" width="15.28515625" style="279" customWidth="1"/>
    <col min="9989" max="9989" width="13.5703125" style="279" customWidth="1"/>
    <col min="9990" max="9990" width="12.42578125" style="279" customWidth="1"/>
    <col min="9991" max="9991" width="10.85546875" style="279" customWidth="1"/>
    <col min="9992" max="9995" width="11.7109375" style="279" customWidth="1"/>
    <col min="9996" max="9996" width="11.7109375" style="279" bestFit="1" customWidth="1"/>
    <col min="9997" max="9997" width="13" style="279" customWidth="1"/>
    <col min="9998" max="9998" width="12" style="279" customWidth="1"/>
    <col min="9999" max="10240" width="9.140625" style="279"/>
    <col min="10241" max="10241" width="14.85546875" style="279" customWidth="1"/>
    <col min="10242" max="10242" width="33.85546875" style="279" customWidth="1"/>
    <col min="10243" max="10243" width="15.140625" style="279" customWidth="1"/>
    <col min="10244" max="10244" width="15.28515625" style="279" customWidth="1"/>
    <col min="10245" max="10245" width="13.5703125" style="279" customWidth="1"/>
    <col min="10246" max="10246" width="12.42578125" style="279" customWidth="1"/>
    <col min="10247" max="10247" width="10.85546875" style="279" customWidth="1"/>
    <col min="10248" max="10251" width="11.7109375" style="279" customWidth="1"/>
    <col min="10252" max="10252" width="11.7109375" style="279" bestFit="1" customWidth="1"/>
    <col min="10253" max="10253" width="13" style="279" customWidth="1"/>
    <col min="10254" max="10254" width="12" style="279" customWidth="1"/>
    <col min="10255" max="10496" width="9.140625" style="279"/>
    <col min="10497" max="10497" width="14.85546875" style="279" customWidth="1"/>
    <col min="10498" max="10498" width="33.85546875" style="279" customWidth="1"/>
    <col min="10499" max="10499" width="15.140625" style="279" customWidth="1"/>
    <col min="10500" max="10500" width="15.28515625" style="279" customWidth="1"/>
    <col min="10501" max="10501" width="13.5703125" style="279" customWidth="1"/>
    <col min="10502" max="10502" width="12.42578125" style="279" customWidth="1"/>
    <col min="10503" max="10503" width="10.85546875" style="279" customWidth="1"/>
    <col min="10504" max="10507" width="11.7109375" style="279" customWidth="1"/>
    <col min="10508" max="10508" width="11.7109375" style="279" bestFit="1" customWidth="1"/>
    <col min="10509" max="10509" width="13" style="279" customWidth="1"/>
    <col min="10510" max="10510" width="12" style="279" customWidth="1"/>
    <col min="10511" max="10752" width="9.140625" style="279"/>
    <col min="10753" max="10753" width="14.85546875" style="279" customWidth="1"/>
    <col min="10754" max="10754" width="33.85546875" style="279" customWidth="1"/>
    <col min="10755" max="10755" width="15.140625" style="279" customWidth="1"/>
    <col min="10756" max="10756" width="15.28515625" style="279" customWidth="1"/>
    <col min="10757" max="10757" width="13.5703125" style="279" customWidth="1"/>
    <col min="10758" max="10758" width="12.42578125" style="279" customWidth="1"/>
    <col min="10759" max="10759" width="10.85546875" style="279" customWidth="1"/>
    <col min="10760" max="10763" width="11.7109375" style="279" customWidth="1"/>
    <col min="10764" max="10764" width="11.7109375" style="279" bestFit="1" customWidth="1"/>
    <col min="10765" max="10765" width="13" style="279" customWidth="1"/>
    <col min="10766" max="10766" width="12" style="279" customWidth="1"/>
    <col min="10767" max="11008" width="9.140625" style="279"/>
    <col min="11009" max="11009" width="14.85546875" style="279" customWidth="1"/>
    <col min="11010" max="11010" width="33.85546875" style="279" customWidth="1"/>
    <col min="11011" max="11011" width="15.140625" style="279" customWidth="1"/>
    <col min="11012" max="11012" width="15.28515625" style="279" customWidth="1"/>
    <col min="11013" max="11013" width="13.5703125" style="279" customWidth="1"/>
    <col min="11014" max="11014" width="12.42578125" style="279" customWidth="1"/>
    <col min="11015" max="11015" width="10.85546875" style="279" customWidth="1"/>
    <col min="11016" max="11019" width="11.7109375" style="279" customWidth="1"/>
    <col min="11020" max="11020" width="11.7109375" style="279" bestFit="1" customWidth="1"/>
    <col min="11021" max="11021" width="13" style="279" customWidth="1"/>
    <col min="11022" max="11022" width="12" style="279" customWidth="1"/>
    <col min="11023" max="11264" width="9.140625" style="279"/>
    <col min="11265" max="11265" width="14.85546875" style="279" customWidth="1"/>
    <col min="11266" max="11266" width="33.85546875" style="279" customWidth="1"/>
    <col min="11267" max="11267" width="15.140625" style="279" customWidth="1"/>
    <col min="11268" max="11268" width="15.28515625" style="279" customWidth="1"/>
    <col min="11269" max="11269" width="13.5703125" style="279" customWidth="1"/>
    <col min="11270" max="11270" width="12.42578125" style="279" customWidth="1"/>
    <col min="11271" max="11271" width="10.85546875" style="279" customWidth="1"/>
    <col min="11272" max="11275" width="11.7109375" style="279" customWidth="1"/>
    <col min="11276" max="11276" width="11.7109375" style="279" bestFit="1" customWidth="1"/>
    <col min="11277" max="11277" width="13" style="279" customWidth="1"/>
    <col min="11278" max="11278" width="12" style="279" customWidth="1"/>
    <col min="11279" max="11520" width="9.140625" style="279"/>
    <col min="11521" max="11521" width="14.85546875" style="279" customWidth="1"/>
    <col min="11522" max="11522" width="33.85546875" style="279" customWidth="1"/>
    <col min="11523" max="11523" width="15.140625" style="279" customWidth="1"/>
    <col min="11524" max="11524" width="15.28515625" style="279" customWidth="1"/>
    <col min="11525" max="11525" width="13.5703125" style="279" customWidth="1"/>
    <col min="11526" max="11526" width="12.42578125" style="279" customWidth="1"/>
    <col min="11527" max="11527" width="10.85546875" style="279" customWidth="1"/>
    <col min="11528" max="11531" width="11.7109375" style="279" customWidth="1"/>
    <col min="11532" max="11532" width="11.7109375" style="279" bestFit="1" customWidth="1"/>
    <col min="11533" max="11533" width="13" style="279" customWidth="1"/>
    <col min="11534" max="11534" width="12" style="279" customWidth="1"/>
    <col min="11535" max="11776" width="9.140625" style="279"/>
    <col min="11777" max="11777" width="14.85546875" style="279" customWidth="1"/>
    <col min="11778" max="11778" width="33.85546875" style="279" customWidth="1"/>
    <col min="11779" max="11779" width="15.140625" style="279" customWidth="1"/>
    <col min="11780" max="11780" width="15.28515625" style="279" customWidth="1"/>
    <col min="11781" max="11781" width="13.5703125" style="279" customWidth="1"/>
    <col min="11782" max="11782" width="12.42578125" style="279" customWidth="1"/>
    <col min="11783" max="11783" width="10.85546875" style="279" customWidth="1"/>
    <col min="11784" max="11787" width="11.7109375" style="279" customWidth="1"/>
    <col min="11788" max="11788" width="11.7109375" style="279" bestFit="1" customWidth="1"/>
    <col min="11789" max="11789" width="13" style="279" customWidth="1"/>
    <col min="11790" max="11790" width="12" style="279" customWidth="1"/>
    <col min="11791" max="12032" width="9.140625" style="279"/>
    <col min="12033" max="12033" width="14.85546875" style="279" customWidth="1"/>
    <col min="12034" max="12034" width="33.85546875" style="279" customWidth="1"/>
    <col min="12035" max="12035" width="15.140625" style="279" customWidth="1"/>
    <col min="12036" max="12036" width="15.28515625" style="279" customWidth="1"/>
    <col min="12037" max="12037" width="13.5703125" style="279" customWidth="1"/>
    <col min="12038" max="12038" width="12.42578125" style="279" customWidth="1"/>
    <col min="12039" max="12039" width="10.85546875" style="279" customWidth="1"/>
    <col min="12040" max="12043" width="11.7109375" style="279" customWidth="1"/>
    <col min="12044" max="12044" width="11.7109375" style="279" bestFit="1" customWidth="1"/>
    <col min="12045" max="12045" width="13" style="279" customWidth="1"/>
    <col min="12046" max="12046" width="12" style="279" customWidth="1"/>
    <col min="12047" max="12288" width="9.140625" style="279"/>
    <col min="12289" max="12289" width="14.85546875" style="279" customWidth="1"/>
    <col min="12290" max="12290" width="33.85546875" style="279" customWidth="1"/>
    <col min="12291" max="12291" width="15.140625" style="279" customWidth="1"/>
    <col min="12292" max="12292" width="15.28515625" style="279" customWidth="1"/>
    <col min="12293" max="12293" width="13.5703125" style="279" customWidth="1"/>
    <col min="12294" max="12294" width="12.42578125" style="279" customWidth="1"/>
    <col min="12295" max="12295" width="10.85546875" style="279" customWidth="1"/>
    <col min="12296" max="12299" width="11.7109375" style="279" customWidth="1"/>
    <col min="12300" max="12300" width="11.7109375" style="279" bestFit="1" customWidth="1"/>
    <col min="12301" max="12301" width="13" style="279" customWidth="1"/>
    <col min="12302" max="12302" width="12" style="279" customWidth="1"/>
    <col min="12303" max="12544" width="9.140625" style="279"/>
    <col min="12545" max="12545" width="14.85546875" style="279" customWidth="1"/>
    <col min="12546" max="12546" width="33.85546875" style="279" customWidth="1"/>
    <col min="12547" max="12547" width="15.140625" style="279" customWidth="1"/>
    <col min="12548" max="12548" width="15.28515625" style="279" customWidth="1"/>
    <col min="12549" max="12549" width="13.5703125" style="279" customWidth="1"/>
    <col min="12550" max="12550" width="12.42578125" style="279" customWidth="1"/>
    <col min="12551" max="12551" width="10.85546875" style="279" customWidth="1"/>
    <col min="12552" max="12555" width="11.7109375" style="279" customWidth="1"/>
    <col min="12556" max="12556" width="11.7109375" style="279" bestFit="1" customWidth="1"/>
    <col min="12557" max="12557" width="13" style="279" customWidth="1"/>
    <col min="12558" max="12558" width="12" style="279" customWidth="1"/>
    <col min="12559" max="12800" width="9.140625" style="279"/>
    <col min="12801" max="12801" width="14.85546875" style="279" customWidth="1"/>
    <col min="12802" max="12802" width="33.85546875" style="279" customWidth="1"/>
    <col min="12803" max="12803" width="15.140625" style="279" customWidth="1"/>
    <col min="12804" max="12804" width="15.28515625" style="279" customWidth="1"/>
    <col min="12805" max="12805" width="13.5703125" style="279" customWidth="1"/>
    <col min="12806" max="12806" width="12.42578125" style="279" customWidth="1"/>
    <col min="12807" max="12807" width="10.85546875" style="279" customWidth="1"/>
    <col min="12808" max="12811" width="11.7109375" style="279" customWidth="1"/>
    <col min="12812" max="12812" width="11.7109375" style="279" bestFit="1" customWidth="1"/>
    <col min="12813" max="12813" width="13" style="279" customWidth="1"/>
    <col min="12814" max="12814" width="12" style="279" customWidth="1"/>
    <col min="12815" max="13056" width="9.140625" style="279"/>
    <col min="13057" max="13057" width="14.85546875" style="279" customWidth="1"/>
    <col min="13058" max="13058" width="33.85546875" style="279" customWidth="1"/>
    <col min="13059" max="13059" width="15.140625" style="279" customWidth="1"/>
    <col min="13060" max="13060" width="15.28515625" style="279" customWidth="1"/>
    <col min="13061" max="13061" width="13.5703125" style="279" customWidth="1"/>
    <col min="13062" max="13062" width="12.42578125" style="279" customWidth="1"/>
    <col min="13063" max="13063" width="10.85546875" style="279" customWidth="1"/>
    <col min="13064" max="13067" width="11.7109375" style="279" customWidth="1"/>
    <col min="13068" max="13068" width="11.7109375" style="279" bestFit="1" customWidth="1"/>
    <col min="13069" max="13069" width="13" style="279" customWidth="1"/>
    <col min="13070" max="13070" width="12" style="279" customWidth="1"/>
    <col min="13071" max="13312" width="9.140625" style="279"/>
    <col min="13313" max="13313" width="14.85546875" style="279" customWidth="1"/>
    <col min="13314" max="13314" width="33.85546875" style="279" customWidth="1"/>
    <col min="13315" max="13315" width="15.140625" style="279" customWidth="1"/>
    <col min="13316" max="13316" width="15.28515625" style="279" customWidth="1"/>
    <col min="13317" max="13317" width="13.5703125" style="279" customWidth="1"/>
    <col min="13318" max="13318" width="12.42578125" style="279" customWidth="1"/>
    <col min="13319" max="13319" width="10.85546875" style="279" customWidth="1"/>
    <col min="13320" max="13323" width="11.7109375" style="279" customWidth="1"/>
    <col min="13324" max="13324" width="11.7109375" style="279" bestFit="1" customWidth="1"/>
    <col min="13325" max="13325" width="13" style="279" customWidth="1"/>
    <col min="13326" max="13326" width="12" style="279" customWidth="1"/>
    <col min="13327" max="13568" width="9.140625" style="279"/>
    <col min="13569" max="13569" width="14.85546875" style="279" customWidth="1"/>
    <col min="13570" max="13570" width="33.85546875" style="279" customWidth="1"/>
    <col min="13571" max="13571" width="15.140625" style="279" customWidth="1"/>
    <col min="13572" max="13572" width="15.28515625" style="279" customWidth="1"/>
    <col min="13573" max="13573" width="13.5703125" style="279" customWidth="1"/>
    <col min="13574" max="13574" width="12.42578125" style="279" customWidth="1"/>
    <col min="13575" max="13575" width="10.85546875" style="279" customWidth="1"/>
    <col min="13576" max="13579" width="11.7109375" style="279" customWidth="1"/>
    <col min="13580" max="13580" width="11.7109375" style="279" bestFit="1" customWidth="1"/>
    <col min="13581" max="13581" width="13" style="279" customWidth="1"/>
    <col min="13582" max="13582" width="12" style="279" customWidth="1"/>
    <col min="13583" max="13824" width="9.140625" style="279"/>
    <col min="13825" max="13825" width="14.85546875" style="279" customWidth="1"/>
    <col min="13826" max="13826" width="33.85546875" style="279" customWidth="1"/>
    <col min="13827" max="13827" width="15.140625" style="279" customWidth="1"/>
    <col min="13828" max="13828" width="15.28515625" style="279" customWidth="1"/>
    <col min="13829" max="13829" width="13.5703125" style="279" customWidth="1"/>
    <col min="13830" max="13830" width="12.42578125" style="279" customWidth="1"/>
    <col min="13831" max="13831" width="10.85546875" style="279" customWidth="1"/>
    <col min="13832" max="13835" width="11.7109375" style="279" customWidth="1"/>
    <col min="13836" max="13836" width="11.7109375" style="279" bestFit="1" customWidth="1"/>
    <col min="13837" max="13837" width="13" style="279" customWidth="1"/>
    <col min="13838" max="13838" width="12" style="279" customWidth="1"/>
    <col min="13839" max="14080" width="9.140625" style="279"/>
    <col min="14081" max="14081" width="14.85546875" style="279" customWidth="1"/>
    <col min="14082" max="14082" width="33.85546875" style="279" customWidth="1"/>
    <col min="14083" max="14083" width="15.140625" style="279" customWidth="1"/>
    <col min="14084" max="14084" width="15.28515625" style="279" customWidth="1"/>
    <col min="14085" max="14085" width="13.5703125" style="279" customWidth="1"/>
    <col min="14086" max="14086" width="12.42578125" style="279" customWidth="1"/>
    <col min="14087" max="14087" width="10.85546875" style="279" customWidth="1"/>
    <col min="14088" max="14091" width="11.7109375" style="279" customWidth="1"/>
    <col min="14092" max="14092" width="11.7109375" style="279" bestFit="1" customWidth="1"/>
    <col min="14093" max="14093" width="13" style="279" customWidth="1"/>
    <col min="14094" max="14094" width="12" style="279" customWidth="1"/>
    <col min="14095" max="14336" width="9.140625" style="279"/>
    <col min="14337" max="14337" width="14.85546875" style="279" customWidth="1"/>
    <col min="14338" max="14338" width="33.85546875" style="279" customWidth="1"/>
    <col min="14339" max="14339" width="15.140625" style="279" customWidth="1"/>
    <col min="14340" max="14340" width="15.28515625" style="279" customWidth="1"/>
    <col min="14341" max="14341" width="13.5703125" style="279" customWidth="1"/>
    <col min="14342" max="14342" width="12.42578125" style="279" customWidth="1"/>
    <col min="14343" max="14343" width="10.85546875" style="279" customWidth="1"/>
    <col min="14344" max="14347" width="11.7109375" style="279" customWidth="1"/>
    <col min="14348" max="14348" width="11.7109375" style="279" bestFit="1" customWidth="1"/>
    <col min="14349" max="14349" width="13" style="279" customWidth="1"/>
    <col min="14350" max="14350" width="12" style="279" customWidth="1"/>
    <col min="14351" max="14592" width="9.140625" style="279"/>
    <col min="14593" max="14593" width="14.85546875" style="279" customWidth="1"/>
    <col min="14594" max="14594" width="33.85546875" style="279" customWidth="1"/>
    <col min="14595" max="14595" width="15.140625" style="279" customWidth="1"/>
    <col min="14596" max="14596" width="15.28515625" style="279" customWidth="1"/>
    <col min="14597" max="14597" width="13.5703125" style="279" customWidth="1"/>
    <col min="14598" max="14598" width="12.42578125" style="279" customWidth="1"/>
    <col min="14599" max="14599" width="10.85546875" style="279" customWidth="1"/>
    <col min="14600" max="14603" width="11.7109375" style="279" customWidth="1"/>
    <col min="14604" max="14604" width="11.7109375" style="279" bestFit="1" customWidth="1"/>
    <col min="14605" max="14605" width="13" style="279" customWidth="1"/>
    <col min="14606" max="14606" width="12" style="279" customWidth="1"/>
    <col min="14607" max="14848" width="9.140625" style="279"/>
    <col min="14849" max="14849" width="14.85546875" style="279" customWidth="1"/>
    <col min="14850" max="14850" width="33.85546875" style="279" customWidth="1"/>
    <col min="14851" max="14851" width="15.140625" style="279" customWidth="1"/>
    <col min="14852" max="14852" width="15.28515625" style="279" customWidth="1"/>
    <col min="14853" max="14853" width="13.5703125" style="279" customWidth="1"/>
    <col min="14854" max="14854" width="12.42578125" style="279" customWidth="1"/>
    <col min="14855" max="14855" width="10.85546875" style="279" customWidth="1"/>
    <col min="14856" max="14859" width="11.7109375" style="279" customWidth="1"/>
    <col min="14860" max="14860" width="11.7109375" style="279" bestFit="1" customWidth="1"/>
    <col min="14861" max="14861" width="13" style="279" customWidth="1"/>
    <col min="14862" max="14862" width="12" style="279" customWidth="1"/>
    <col min="14863" max="15104" width="9.140625" style="279"/>
    <col min="15105" max="15105" width="14.85546875" style="279" customWidth="1"/>
    <col min="15106" max="15106" width="33.85546875" style="279" customWidth="1"/>
    <col min="15107" max="15107" width="15.140625" style="279" customWidth="1"/>
    <col min="15108" max="15108" width="15.28515625" style="279" customWidth="1"/>
    <col min="15109" max="15109" width="13.5703125" style="279" customWidth="1"/>
    <col min="15110" max="15110" width="12.42578125" style="279" customWidth="1"/>
    <col min="15111" max="15111" width="10.85546875" style="279" customWidth="1"/>
    <col min="15112" max="15115" width="11.7109375" style="279" customWidth="1"/>
    <col min="15116" max="15116" width="11.7109375" style="279" bestFit="1" customWidth="1"/>
    <col min="15117" max="15117" width="13" style="279" customWidth="1"/>
    <col min="15118" max="15118" width="12" style="279" customWidth="1"/>
    <col min="15119" max="15360" width="9.140625" style="279"/>
    <col min="15361" max="15361" width="14.85546875" style="279" customWidth="1"/>
    <col min="15362" max="15362" width="33.85546875" style="279" customWidth="1"/>
    <col min="15363" max="15363" width="15.140625" style="279" customWidth="1"/>
    <col min="15364" max="15364" width="15.28515625" style="279" customWidth="1"/>
    <col min="15365" max="15365" width="13.5703125" style="279" customWidth="1"/>
    <col min="15366" max="15366" width="12.42578125" style="279" customWidth="1"/>
    <col min="15367" max="15367" width="10.85546875" style="279" customWidth="1"/>
    <col min="15368" max="15371" width="11.7109375" style="279" customWidth="1"/>
    <col min="15372" max="15372" width="11.7109375" style="279" bestFit="1" customWidth="1"/>
    <col min="15373" max="15373" width="13" style="279" customWidth="1"/>
    <col min="15374" max="15374" width="12" style="279" customWidth="1"/>
    <col min="15375" max="15616" width="9.140625" style="279"/>
    <col min="15617" max="15617" width="14.85546875" style="279" customWidth="1"/>
    <col min="15618" max="15618" width="33.85546875" style="279" customWidth="1"/>
    <col min="15619" max="15619" width="15.140625" style="279" customWidth="1"/>
    <col min="15620" max="15620" width="15.28515625" style="279" customWidth="1"/>
    <col min="15621" max="15621" width="13.5703125" style="279" customWidth="1"/>
    <col min="15622" max="15622" width="12.42578125" style="279" customWidth="1"/>
    <col min="15623" max="15623" width="10.85546875" style="279" customWidth="1"/>
    <col min="15624" max="15627" width="11.7109375" style="279" customWidth="1"/>
    <col min="15628" max="15628" width="11.7109375" style="279" bestFit="1" customWidth="1"/>
    <col min="15629" max="15629" width="13" style="279" customWidth="1"/>
    <col min="15630" max="15630" width="12" style="279" customWidth="1"/>
    <col min="15631" max="15872" width="9.140625" style="279"/>
    <col min="15873" max="15873" width="14.85546875" style="279" customWidth="1"/>
    <col min="15874" max="15874" width="33.85546875" style="279" customWidth="1"/>
    <col min="15875" max="15875" width="15.140625" style="279" customWidth="1"/>
    <col min="15876" max="15876" width="15.28515625" style="279" customWidth="1"/>
    <col min="15877" max="15877" width="13.5703125" style="279" customWidth="1"/>
    <col min="15878" max="15878" width="12.42578125" style="279" customWidth="1"/>
    <col min="15879" max="15879" width="10.85546875" style="279" customWidth="1"/>
    <col min="15880" max="15883" width="11.7109375" style="279" customWidth="1"/>
    <col min="15884" max="15884" width="11.7109375" style="279" bestFit="1" customWidth="1"/>
    <col min="15885" max="15885" width="13" style="279" customWidth="1"/>
    <col min="15886" max="15886" width="12" style="279" customWidth="1"/>
    <col min="15887" max="16128" width="9.140625" style="279"/>
    <col min="16129" max="16129" width="14.85546875" style="279" customWidth="1"/>
    <col min="16130" max="16130" width="33.85546875" style="279" customWidth="1"/>
    <col min="16131" max="16131" width="15.140625" style="279" customWidth="1"/>
    <col min="16132" max="16132" width="15.28515625" style="279" customWidth="1"/>
    <col min="16133" max="16133" width="13.5703125" style="279" customWidth="1"/>
    <col min="16134" max="16134" width="12.42578125" style="279" customWidth="1"/>
    <col min="16135" max="16135" width="10.85546875" style="279" customWidth="1"/>
    <col min="16136" max="16139" width="11.7109375" style="279" customWidth="1"/>
    <col min="16140" max="16140" width="11.7109375" style="279" bestFit="1" customWidth="1"/>
    <col min="16141" max="16141" width="13" style="279" customWidth="1"/>
    <col min="16142" max="16142" width="12" style="279" customWidth="1"/>
    <col min="16143" max="16384" width="9.140625" style="279"/>
  </cols>
  <sheetData>
    <row r="1" spans="1:15" ht="19.5" customHeight="1" x14ac:dyDescent="0.25">
      <c r="A1" s="1081" t="s">
        <v>229</v>
      </c>
      <c r="B1" s="1081"/>
      <c r="C1" s="1081"/>
      <c r="D1" s="1081"/>
      <c r="E1" s="1081"/>
      <c r="F1" s="1081"/>
    </row>
    <row r="2" spans="1:15" ht="18.75" customHeight="1" x14ac:dyDescent="0.25">
      <c r="A2" s="1081" t="s">
        <v>710</v>
      </c>
      <c r="B2" s="1081"/>
      <c r="C2" s="1081"/>
      <c r="D2" s="1081"/>
      <c r="E2" s="1081"/>
      <c r="F2" s="1081"/>
      <c r="L2" s="1113"/>
      <c r="M2" s="1113"/>
      <c r="N2" s="1113"/>
      <c r="O2" s="1113"/>
    </row>
    <row r="3" spans="1:15" ht="12.75" customHeight="1" x14ac:dyDescent="0.25">
      <c r="A3" s="306"/>
      <c r="B3" s="306"/>
      <c r="L3" s="1113"/>
      <c r="M3" s="1113"/>
      <c r="N3" s="1113"/>
      <c r="O3" s="1113"/>
    </row>
    <row r="4" spans="1:15" ht="17.25" customHeight="1" x14ac:dyDescent="0.25">
      <c r="A4" s="1081" t="s">
        <v>230</v>
      </c>
      <c r="B4" s="1081"/>
      <c r="C4" s="1081"/>
      <c r="D4" s="1081"/>
      <c r="E4" s="1081"/>
      <c r="F4" s="1081"/>
      <c r="L4" s="1113"/>
      <c r="M4" s="1113"/>
      <c r="N4" s="1113"/>
      <c r="O4" s="1113"/>
    </row>
    <row r="5" spans="1:15" ht="18.75" customHeight="1" x14ac:dyDescent="0.25">
      <c r="A5" s="307" t="s">
        <v>231</v>
      </c>
      <c r="B5" s="306"/>
      <c r="L5" s="239"/>
      <c r="M5" s="239"/>
      <c r="N5" s="239"/>
      <c r="O5" s="239"/>
    </row>
    <row r="6" spans="1:15" ht="11.25" customHeight="1" x14ac:dyDescent="0.25">
      <c r="A6" s="306"/>
      <c r="B6" s="306"/>
      <c r="C6" s="306"/>
      <c r="L6" s="239"/>
      <c r="M6" s="239"/>
      <c r="N6" s="239"/>
      <c r="O6" s="239"/>
    </row>
    <row r="7" spans="1:15" ht="71.25" customHeight="1" x14ac:dyDescent="0.25">
      <c r="A7" s="184" t="s">
        <v>3</v>
      </c>
      <c r="B7" s="170" t="s">
        <v>4</v>
      </c>
      <c r="C7" s="308" t="s">
        <v>756</v>
      </c>
      <c r="D7" s="308" t="s">
        <v>718</v>
      </c>
      <c r="E7" s="308" t="s">
        <v>719</v>
      </c>
      <c r="F7" s="308" t="s">
        <v>560</v>
      </c>
      <c r="H7" s="529"/>
      <c r="L7" s="239"/>
      <c r="M7" s="239"/>
      <c r="N7" s="239"/>
      <c r="O7" s="239"/>
    </row>
    <row r="8" spans="1:15" ht="25.5" customHeight="1" x14ac:dyDescent="0.25">
      <c r="A8" s="309" t="s">
        <v>11</v>
      </c>
      <c r="B8" s="174" t="s">
        <v>12</v>
      </c>
      <c r="C8" s="310">
        <f>F15</f>
        <v>1023593.2500000001</v>
      </c>
      <c r="D8" s="310">
        <f>F16</f>
        <v>1364791</v>
      </c>
      <c r="E8" s="311">
        <f>F17</f>
        <v>1445313.67</v>
      </c>
      <c r="F8" s="463">
        <f>ROUND(E8/1000,1)</f>
        <v>1445.3</v>
      </c>
    </row>
    <row r="9" spans="1:15" ht="14.25" customHeight="1" x14ac:dyDescent="0.25">
      <c r="A9" s="312"/>
      <c r="B9" s="313"/>
      <c r="C9" s="314"/>
      <c r="D9" s="315"/>
      <c r="E9" s="315"/>
      <c r="F9" s="316"/>
    </row>
    <row r="10" spans="1:15" ht="20.25" customHeight="1" x14ac:dyDescent="0.25">
      <c r="A10" s="317"/>
      <c r="B10" s="1105" t="s">
        <v>232</v>
      </c>
      <c r="C10" s="1105"/>
      <c r="D10" s="1105"/>
      <c r="E10" s="1105"/>
      <c r="F10" s="1105"/>
    </row>
    <row r="11" spans="1:15" ht="27.75" customHeight="1" x14ac:dyDescent="0.25">
      <c r="A11" s="320"/>
      <c r="B11" s="321" t="s">
        <v>233</v>
      </c>
      <c r="C11" s="321" t="s">
        <v>234</v>
      </c>
      <c r="D11" s="184" t="s">
        <v>235</v>
      </c>
      <c r="E11" s="322" t="s">
        <v>236</v>
      </c>
      <c r="F11" s="323" t="s">
        <v>237</v>
      </c>
      <c r="H11" s="1074" t="s">
        <v>620</v>
      </c>
      <c r="I11" s="1074"/>
      <c r="L11" s="298"/>
      <c r="M11" s="298"/>
      <c r="N11" s="298"/>
      <c r="O11" s="298"/>
    </row>
    <row r="12" spans="1:15" x14ac:dyDescent="0.25">
      <c r="A12" s="320"/>
      <c r="B12" s="1087" t="s">
        <v>238</v>
      </c>
      <c r="C12" s="321">
        <v>2016</v>
      </c>
      <c r="D12" s="324">
        <v>7</v>
      </c>
      <c r="E12" s="325">
        <f>F12*100/D12</f>
        <v>20138862.142857142</v>
      </c>
      <c r="F12" s="325">
        <v>1409720.35</v>
      </c>
      <c r="H12" s="1074"/>
      <c r="I12" s="1074"/>
      <c r="L12" s="298"/>
      <c r="M12" s="298"/>
      <c r="N12" s="298"/>
      <c r="O12" s="298"/>
    </row>
    <row r="13" spans="1:15" x14ac:dyDescent="0.25">
      <c r="A13" s="320"/>
      <c r="B13" s="1088"/>
      <c r="C13" s="321">
        <v>2017</v>
      </c>
      <c r="D13" s="324">
        <v>7</v>
      </c>
      <c r="E13" s="325">
        <f>F13*100/D13</f>
        <v>22860943.714285713</v>
      </c>
      <c r="F13" s="325">
        <v>1600266.06</v>
      </c>
      <c r="H13" s="530" t="s">
        <v>617</v>
      </c>
      <c r="I13" s="531">
        <v>6.3399999999999998E-2</v>
      </c>
      <c r="L13" s="298"/>
      <c r="M13" s="298"/>
      <c r="N13" s="298"/>
      <c r="O13" s="298"/>
    </row>
    <row r="14" spans="1:15" x14ac:dyDescent="0.25">
      <c r="A14" s="446"/>
      <c r="B14" s="1089"/>
      <c r="C14" s="644">
        <v>2018</v>
      </c>
      <c r="D14" s="324">
        <v>7</v>
      </c>
      <c r="E14" s="325">
        <f>F14*100/D14</f>
        <v>20559909.142857142</v>
      </c>
      <c r="F14" s="325">
        <v>1439193.64</v>
      </c>
      <c r="H14" s="530" t="s">
        <v>618</v>
      </c>
      <c r="I14" s="531">
        <v>5.8999999999999997E-2</v>
      </c>
      <c r="L14" s="298"/>
      <c r="M14" s="298"/>
      <c r="N14" s="298"/>
      <c r="O14" s="298"/>
    </row>
    <row r="15" spans="1:15" x14ac:dyDescent="0.25">
      <c r="A15" s="320"/>
      <c r="B15" s="328" t="s">
        <v>755</v>
      </c>
      <c r="C15" s="1106">
        <v>2019</v>
      </c>
      <c r="D15" s="324">
        <v>7</v>
      </c>
      <c r="E15" s="325">
        <f>F15*100/D15</f>
        <v>14622760.714285716</v>
      </c>
      <c r="F15" s="532">
        <v>1023593.2500000001</v>
      </c>
      <c r="H15" s="530" t="s">
        <v>619</v>
      </c>
      <c r="I15" s="531">
        <v>7.0000000000000007E-2</v>
      </c>
      <c r="L15" s="298"/>
      <c r="M15" s="298"/>
      <c r="N15" s="298"/>
      <c r="O15" s="298"/>
    </row>
    <row r="16" spans="1:15" x14ac:dyDescent="0.25">
      <c r="A16" s="320"/>
      <c r="B16" s="331" t="s">
        <v>239</v>
      </c>
      <c r="C16" s="1106"/>
      <c r="D16" s="324">
        <v>7</v>
      </c>
      <c r="E16" s="325">
        <f>F16*100/D16</f>
        <v>19497014.285714287</v>
      </c>
      <c r="F16" s="462">
        <f>ROUND(F15/9*12,2)</f>
        <v>1364791</v>
      </c>
      <c r="L16" s="298"/>
      <c r="M16" s="298"/>
      <c r="N16" s="298"/>
      <c r="O16" s="298"/>
    </row>
    <row r="17" spans="1:9" x14ac:dyDescent="0.25">
      <c r="A17" s="320"/>
      <c r="B17" s="1114" t="s">
        <v>240</v>
      </c>
      <c r="C17" s="1097">
        <v>2020</v>
      </c>
      <c r="D17" s="324">
        <v>7</v>
      </c>
      <c r="E17" s="333">
        <f>E16*F18</f>
        <v>20647338.128571428</v>
      </c>
      <c r="F17" s="333">
        <f>ROUND(E17*D17%,2)</f>
        <v>1445313.67</v>
      </c>
    </row>
    <row r="18" spans="1:9" ht="24.75" customHeight="1" x14ac:dyDescent="0.25">
      <c r="A18" s="320"/>
      <c r="B18" s="1114"/>
      <c r="C18" s="1097"/>
      <c r="D18" s="1115" t="s">
        <v>620</v>
      </c>
      <c r="E18" s="1116"/>
      <c r="F18" s="533">
        <v>1.0589999999999999</v>
      </c>
      <c r="G18" s="334" t="s">
        <v>241</v>
      </c>
    </row>
    <row r="19" spans="1:9" x14ac:dyDescent="0.25">
      <c r="A19" s="320"/>
      <c r="B19" s="335"/>
      <c r="C19" s="336"/>
      <c r="D19" s="290"/>
      <c r="E19" s="337"/>
      <c r="F19" s="313"/>
    </row>
    <row r="20" spans="1:9" x14ac:dyDescent="0.25">
      <c r="A20" s="445"/>
      <c r="B20" s="335"/>
      <c r="C20" s="318">
        <v>2011</v>
      </c>
      <c r="D20" s="319">
        <f>ROUND(1317903.45/1000,1)</f>
        <v>1317.9</v>
      </c>
      <c r="E20" s="337"/>
      <c r="F20" s="313"/>
      <c r="H20" s="329"/>
      <c r="I20" s="330"/>
    </row>
    <row r="21" spans="1:9" x14ac:dyDescent="0.25">
      <c r="A21" s="445"/>
      <c r="B21" s="335"/>
      <c r="C21" s="318">
        <v>2012</v>
      </c>
      <c r="D21" s="319">
        <f>ROUND(1691809.88/1000,1)</f>
        <v>1691.8</v>
      </c>
      <c r="E21" s="337"/>
      <c r="F21" s="313"/>
      <c r="H21" s="329"/>
      <c r="I21" s="330"/>
    </row>
    <row r="22" spans="1:9" x14ac:dyDescent="0.25">
      <c r="A22" s="445"/>
      <c r="B22" s="335"/>
      <c r="C22" s="318">
        <v>2013</v>
      </c>
      <c r="D22" s="319">
        <f>ROUND(1718138.62/1000,1)</f>
        <v>1718.1</v>
      </c>
      <c r="E22" s="337"/>
      <c r="F22" s="313"/>
      <c r="H22" s="329"/>
      <c r="I22" s="330"/>
    </row>
    <row r="23" spans="1:9" x14ac:dyDescent="0.25">
      <c r="A23" s="445"/>
      <c r="B23" s="335"/>
      <c r="C23" s="326">
        <v>2014</v>
      </c>
      <c r="D23" s="327">
        <f>ROUND(2814407.41/1000,1)</f>
        <v>2814.4</v>
      </c>
      <c r="E23" s="337"/>
      <c r="F23" s="313"/>
      <c r="H23" s="329"/>
      <c r="I23" s="330"/>
    </row>
    <row r="24" spans="1:9" x14ac:dyDescent="0.25">
      <c r="A24" s="445"/>
      <c r="B24" s="335"/>
      <c r="C24" s="329">
        <v>2015</v>
      </c>
      <c r="D24" s="330">
        <f>ROUND(1628617.18/1000,1)</f>
        <v>1628.6</v>
      </c>
      <c r="E24" s="337"/>
      <c r="F24" s="313"/>
      <c r="H24" s="329"/>
      <c r="I24" s="330"/>
    </row>
    <row r="25" spans="1:9" x14ac:dyDescent="0.25">
      <c r="A25" s="445"/>
      <c r="B25" s="335"/>
      <c r="C25" s="332">
        <v>2016</v>
      </c>
      <c r="D25" s="330">
        <f>ROUND(1409720.35/1000,1)</f>
        <v>1409.7</v>
      </c>
      <c r="E25" s="337"/>
      <c r="F25" s="313"/>
      <c r="H25" s="329"/>
      <c r="I25" s="330"/>
    </row>
    <row r="26" spans="1:9" x14ac:dyDescent="0.25">
      <c r="A26" s="445"/>
      <c r="B26" s="335"/>
      <c r="C26" s="329">
        <v>2017</v>
      </c>
      <c r="D26" s="330">
        <f>ROUND(1600266.06/1000,1)</f>
        <v>1600.3</v>
      </c>
      <c r="E26" s="337"/>
      <c r="F26" s="313"/>
      <c r="H26" s="329"/>
      <c r="I26" s="330"/>
    </row>
    <row r="27" spans="1:9" x14ac:dyDescent="0.25">
      <c r="A27" s="445"/>
      <c r="B27" s="335"/>
      <c r="C27" s="329">
        <v>2018</v>
      </c>
      <c r="D27" s="330">
        <f>ROUND(1439193.64/1000,1)</f>
        <v>1439.2</v>
      </c>
      <c r="E27" s="337"/>
      <c r="F27" s="313"/>
      <c r="H27" s="329"/>
      <c r="I27" s="330"/>
    </row>
    <row r="28" spans="1:9" x14ac:dyDescent="0.25">
      <c r="A28" s="445"/>
      <c r="B28" s="335"/>
      <c r="C28" s="329">
        <v>2019</v>
      </c>
      <c r="D28" s="330">
        <f>ROUND(F16/1000,1)</f>
        <v>1364.8</v>
      </c>
      <c r="E28" s="337"/>
      <c r="F28" s="313"/>
      <c r="H28" s="329"/>
      <c r="I28" s="330"/>
    </row>
    <row r="29" spans="1:9" x14ac:dyDescent="0.25">
      <c r="A29" s="446"/>
      <c r="B29" s="335"/>
      <c r="C29" s="329">
        <v>2020</v>
      </c>
      <c r="D29" s="330">
        <f>ROUND(F17/1000,1)</f>
        <v>1445.3</v>
      </c>
      <c r="E29" s="337"/>
      <c r="F29" s="313"/>
      <c r="H29" s="329"/>
      <c r="I29" s="330"/>
    </row>
    <row r="30" spans="1:9" x14ac:dyDescent="0.25">
      <c r="A30" s="446"/>
      <c r="B30" s="335"/>
      <c r="C30" s="329"/>
      <c r="D30" s="330"/>
      <c r="E30" s="337"/>
      <c r="F30" s="313"/>
      <c r="H30" s="329"/>
      <c r="I30" s="330"/>
    </row>
    <row r="31" spans="1:9" x14ac:dyDescent="0.25">
      <c r="A31" s="446"/>
      <c r="B31" s="335"/>
      <c r="C31" s="329"/>
      <c r="D31" s="330"/>
      <c r="E31" s="337"/>
      <c r="F31" s="313"/>
      <c r="H31" s="329"/>
      <c r="I31" s="330"/>
    </row>
    <row r="32" spans="1:9" x14ac:dyDescent="0.25">
      <c r="A32" s="446"/>
      <c r="B32" s="335"/>
      <c r="C32" s="329"/>
      <c r="D32" s="330"/>
      <c r="E32" s="337"/>
      <c r="F32" s="313"/>
      <c r="H32" s="329"/>
      <c r="I32" s="330"/>
    </row>
    <row r="33" spans="1:13" x14ac:dyDescent="0.25">
      <c r="A33" s="446"/>
      <c r="B33" s="335"/>
      <c r="C33" s="329"/>
      <c r="D33" s="330"/>
      <c r="E33" s="337"/>
      <c r="F33" s="313"/>
      <c r="H33" s="329"/>
      <c r="I33" s="330"/>
    </row>
    <row r="34" spans="1:13" x14ac:dyDescent="0.25">
      <c r="A34" s="446"/>
      <c r="B34" s="335"/>
      <c r="C34" s="329"/>
      <c r="D34" s="330"/>
      <c r="E34" s="337"/>
      <c r="F34" s="313"/>
      <c r="H34" s="329"/>
      <c r="I34" s="330"/>
    </row>
    <row r="35" spans="1:13" x14ac:dyDescent="0.25">
      <c r="A35" s="446"/>
      <c r="B35" s="335"/>
      <c r="C35" s="329"/>
      <c r="D35" s="330"/>
      <c r="E35" s="337"/>
      <c r="F35" s="313"/>
      <c r="H35" s="329"/>
      <c r="I35" s="330"/>
    </row>
    <row r="36" spans="1:13" ht="15" customHeight="1" x14ac:dyDescent="0.25">
      <c r="A36" s="1077" t="s">
        <v>621</v>
      </c>
      <c r="B36" s="1077"/>
      <c r="C36" s="1077"/>
      <c r="D36" s="1077"/>
      <c r="E36" s="1077"/>
      <c r="F36" s="1077"/>
      <c r="H36" s="329"/>
      <c r="I36" s="330"/>
    </row>
    <row r="37" spans="1:13" x14ac:dyDescent="0.25">
      <c r="A37" s="539"/>
      <c r="B37" s="540"/>
      <c r="C37" s="541"/>
      <c r="D37" s="536"/>
      <c r="E37" s="542"/>
      <c r="F37" s="543"/>
      <c r="H37" s="329"/>
      <c r="I37" s="330"/>
    </row>
    <row r="38" spans="1:13" ht="15" customHeight="1" x14ac:dyDescent="0.25">
      <c r="A38" s="539"/>
      <c r="B38" s="534" t="s">
        <v>612</v>
      </c>
      <c r="C38" s="535">
        <v>833.7</v>
      </c>
      <c r="D38" s="536"/>
      <c r="E38" s="1076" t="s">
        <v>620</v>
      </c>
      <c r="F38" s="1076"/>
      <c r="G38" s="317"/>
      <c r="H38" s="317"/>
      <c r="I38" s="330"/>
    </row>
    <row r="39" spans="1:13" x14ac:dyDescent="0.25">
      <c r="A39" s="539"/>
      <c r="B39" s="534" t="s">
        <v>613</v>
      </c>
      <c r="C39" s="535">
        <v>1603.3</v>
      </c>
      <c r="D39" s="536"/>
      <c r="E39" s="1076"/>
      <c r="F39" s="1076"/>
      <c r="H39" s="329"/>
      <c r="I39" s="330"/>
    </row>
    <row r="40" spans="1:13" ht="25.5" x14ac:dyDescent="0.25">
      <c r="A40" s="539"/>
      <c r="B40" s="534" t="s">
        <v>616</v>
      </c>
      <c r="C40" s="535">
        <f>C38/C39</f>
        <v>0.51999002058254851</v>
      </c>
      <c r="D40" s="536"/>
      <c r="E40" s="537" t="s">
        <v>617</v>
      </c>
      <c r="F40" s="538">
        <v>5.2400000000000002E-2</v>
      </c>
      <c r="H40" s="329"/>
      <c r="I40" s="330"/>
    </row>
    <row r="41" spans="1:13" x14ac:dyDescent="0.25">
      <c r="A41" s="539"/>
      <c r="B41" s="534" t="s">
        <v>614</v>
      </c>
      <c r="C41" s="535">
        <v>782.7</v>
      </c>
      <c r="D41" s="536"/>
      <c r="E41" s="537" t="s">
        <v>618</v>
      </c>
      <c r="F41" s="538">
        <v>5.4800000000000001E-2</v>
      </c>
      <c r="H41" s="329"/>
      <c r="I41" s="330"/>
    </row>
    <row r="42" spans="1:13" x14ac:dyDescent="0.25">
      <c r="A42" s="539"/>
      <c r="B42" s="534" t="s">
        <v>615</v>
      </c>
      <c r="C42" s="535">
        <f>ROUND(C41/C40,1)</f>
        <v>1505.2</v>
      </c>
      <c r="D42" s="536"/>
      <c r="E42" s="537" t="s">
        <v>619</v>
      </c>
      <c r="F42" s="538">
        <v>6.6900000000000001E-2</v>
      </c>
      <c r="H42" s="329"/>
      <c r="I42" s="330"/>
    </row>
    <row r="43" spans="1:13" x14ac:dyDescent="0.25">
      <c r="A43" s="446"/>
      <c r="B43" s="335"/>
      <c r="C43" s="329"/>
      <c r="D43" s="330"/>
      <c r="E43" s="337"/>
      <c r="F43" s="313"/>
      <c r="H43" s="329"/>
      <c r="I43" s="330"/>
    </row>
    <row r="44" spans="1:13" x14ac:dyDescent="0.25">
      <c r="A44" s="446"/>
      <c r="B44" s="335"/>
      <c r="C44" s="329"/>
      <c r="D44" s="330"/>
      <c r="E44" s="337"/>
      <c r="F44" s="313"/>
      <c r="H44" s="329"/>
      <c r="I44" s="330"/>
    </row>
    <row r="45" spans="1:13" x14ac:dyDescent="0.25">
      <c r="A45" s="1104" t="s">
        <v>242</v>
      </c>
      <c r="B45" s="1104"/>
      <c r="C45" s="1104"/>
      <c r="D45" s="1104"/>
      <c r="E45" s="1104"/>
      <c r="F45" s="1104"/>
      <c r="H45" s="338"/>
      <c r="I45" s="329"/>
      <c r="J45" s="330"/>
    </row>
    <row r="46" spans="1:13" x14ac:dyDescent="0.25">
      <c r="A46" s="688"/>
      <c r="B46" s="688"/>
      <c r="C46" s="688"/>
      <c r="D46" s="688"/>
      <c r="E46" s="688"/>
      <c r="F46" s="688"/>
      <c r="H46" s="338"/>
      <c r="I46" s="329"/>
      <c r="J46" s="330"/>
    </row>
    <row r="47" spans="1:13" ht="15" customHeight="1" x14ac:dyDescent="0.25">
      <c r="A47" s="1090" t="s">
        <v>796</v>
      </c>
      <c r="B47" s="1090"/>
      <c r="C47" s="1090"/>
      <c r="D47" s="1090"/>
      <c r="E47" s="1090"/>
      <c r="F47" s="1090"/>
      <c r="H47" s="338"/>
      <c r="I47" s="329"/>
      <c r="J47" s="330"/>
    </row>
    <row r="48" spans="1:13" ht="66.75" customHeight="1" x14ac:dyDescent="0.25">
      <c r="A48" s="184" t="s">
        <v>3</v>
      </c>
      <c r="B48" s="170" t="s">
        <v>4</v>
      </c>
      <c r="C48" s="342" t="s">
        <v>711</v>
      </c>
      <c r="D48" s="342" t="s">
        <v>243</v>
      </c>
      <c r="E48" s="342" t="s">
        <v>244</v>
      </c>
      <c r="F48" s="342" t="s">
        <v>712</v>
      </c>
      <c r="H48" s="635"/>
      <c r="I48" s="508"/>
      <c r="J48" s="637"/>
      <c r="K48" s="646" t="s">
        <v>886</v>
      </c>
      <c r="L48" s="646" t="s">
        <v>713</v>
      </c>
      <c r="M48" s="646" t="s">
        <v>714</v>
      </c>
    </row>
    <row r="49" spans="1:13" ht="67.5" x14ac:dyDescent="0.25">
      <c r="A49" s="343" t="s">
        <v>245</v>
      </c>
      <c r="B49" s="216" t="s">
        <v>18</v>
      </c>
      <c r="C49" s="344">
        <f>ROUND(857013.42/1000,1)</f>
        <v>857</v>
      </c>
      <c r="D49" s="344">
        <f>ROUND(899725.2/1000,1)</f>
        <v>899.7</v>
      </c>
      <c r="E49" s="344">
        <f>ROUND(L49/1000,1)</f>
        <v>954.7</v>
      </c>
      <c r="F49" s="344">
        <f>ROUND(M49/1000,1)</f>
        <v>1022.4</v>
      </c>
      <c r="H49" s="638"/>
      <c r="I49" s="520"/>
      <c r="J49" s="640"/>
      <c r="K49" s="344">
        <v>899725.2</v>
      </c>
      <c r="L49" s="645">
        <v>954688.41</v>
      </c>
      <c r="M49" s="645">
        <v>1022373.8</v>
      </c>
    </row>
    <row r="50" spans="1:13" ht="78.75" x14ac:dyDescent="0.25">
      <c r="A50" s="343" t="s">
        <v>246</v>
      </c>
      <c r="B50" s="216" t="s">
        <v>20</v>
      </c>
      <c r="C50" s="344">
        <f>ROUND(4632.06/1000,1)</f>
        <v>4.5999999999999996</v>
      </c>
      <c r="D50" s="344">
        <f>ROUND(4634.35/1000,1)</f>
        <v>4.5999999999999996</v>
      </c>
      <c r="E50" s="344">
        <f t="shared" ref="E50:F52" si="0">ROUND(L50/1000,1)</f>
        <v>4.8</v>
      </c>
      <c r="F50" s="344">
        <f t="shared" si="0"/>
        <v>5</v>
      </c>
      <c r="G50" s="527"/>
      <c r="H50" s="638"/>
      <c r="I50" s="520"/>
      <c r="J50" s="640"/>
      <c r="K50" s="344">
        <v>4634.3500000000004</v>
      </c>
      <c r="L50" s="645">
        <v>4790.83</v>
      </c>
      <c r="M50" s="645">
        <v>5040.8999999999996</v>
      </c>
    </row>
    <row r="51" spans="1:13" ht="67.5" x14ac:dyDescent="0.25">
      <c r="A51" s="343" t="s">
        <v>247</v>
      </c>
      <c r="B51" s="216" t="s">
        <v>22</v>
      </c>
      <c r="C51" s="344">
        <f>ROUND(1147974.07/1000,1)</f>
        <v>1148</v>
      </c>
      <c r="D51" s="344">
        <f>ROUND(1175210.13/1000,1)</f>
        <v>1175.2</v>
      </c>
      <c r="E51" s="344">
        <f t="shared" si="0"/>
        <v>1243.5</v>
      </c>
      <c r="F51" s="344">
        <f t="shared" si="0"/>
        <v>1323.6</v>
      </c>
      <c r="H51" s="638"/>
      <c r="I51" s="520"/>
      <c r="J51" s="640"/>
      <c r="K51" s="344">
        <v>1175210.1299999999</v>
      </c>
      <c r="L51" s="645">
        <v>1243529.18</v>
      </c>
      <c r="M51" s="645">
        <v>1323566.19</v>
      </c>
    </row>
    <row r="52" spans="1:13" ht="67.5" x14ac:dyDescent="0.25">
      <c r="A52" s="343" t="s">
        <v>248</v>
      </c>
      <c r="B52" s="216" t="s">
        <v>23</v>
      </c>
      <c r="C52" s="344">
        <f>ROUND(-133311.07/1000,1)</f>
        <v>-133.30000000000001</v>
      </c>
      <c r="D52" s="344">
        <f>ROUND(-116111.38/1000,1)</f>
        <v>-116.1</v>
      </c>
      <c r="E52" s="344">
        <f t="shared" si="0"/>
        <v>-132</v>
      </c>
      <c r="F52" s="344">
        <f t="shared" si="0"/>
        <v>-129.80000000000001</v>
      </c>
      <c r="H52" s="638"/>
      <c r="I52" s="520"/>
      <c r="J52" s="640"/>
      <c r="K52" s="344">
        <v>-116111.38</v>
      </c>
      <c r="L52" s="645">
        <v>-132025.82999999999</v>
      </c>
      <c r="M52" s="645">
        <v>-129763.27</v>
      </c>
    </row>
    <row r="53" spans="1:13" x14ac:dyDescent="0.25">
      <c r="A53" s="1086" t="s">
        <v>249</v>
      </c>
      <c r="B53" s="1086"/>
      <c r="C53" s="346">
        <f>SUM(C49:C52)</f>
        <v>1876.3</v>
      </c>
      <c r="D53" s="347">
        <f>SUM(D49:D52)</f>
        <v>1963.4</v>
      </c>
      <c r="E53" s="346">
        <f>SUM(E49:E52)</f>
        <v>2071</v>
      </c>
      <c r="F53" s="346">
        <f>SUM(F49:F52)</f>
        <v>2221.1999999999998</v>
      </c>
      <c r="H53" s="639"/>
      <c r="I53" s="639"/>
      <c r="J53" s="639"/>
      <c r="K53" s="929">
        <f>SUM(K49:K52)</f>
        <v>1963458.2999999998</v>
      </c>
      <c r="L53" s="929">
        <f t="shared" ref="L53:M53" si="1">SUM(L49:L52)</f>
        <v>2070982.5899999999</v>
      </c>
      <c r="M53" s="929">
        <f t="shared" si="1"/>
        <v>2221217.62</v>
      </c>
    </row>
    <row r="54" spans="1:13" x14ac:dyDescent="0.25">
      <c r="A54" s="339"/>
      <c r="B54" s="340"/>
      <c r="C54" s="341"/>
      <c r="D54" s="316"/>
      <c r="E54" s="316"/>
      <c r="F54" s="316"/>
    </row>
    <row r="55" spans="1:13" x14ac:dyDescent="0.25">
      <c r="B55" s="340"/>
      <c r="C55" s="341"/>
      <c r="D55" s="316"/>
      <c r="E55" s="316"/>
      <c r="F55" s="316"/>
    </row>
    <row r="56" spans="1:13" x14ac:dyDescent="0.25">
      <c r="A56" s="1104" t="s">
        <v>250</v>
      </c>
      <c r="B56" s="1104"/>
      <c r="C56" s="1104"/>
      <c r="D56" s="1104"/>
      <c r="E56" s="1104"/>
      <c r="F56" s="1104"/>
    </row>
    <row r="57" spans="1:13" x14ac:dyDescent="0.25">
      <c r="A57" s="339"/>
      <c r="B57" s="340"/>
      <c r="C57" s="341"/>
      <c r="D57" s="316"/>
      <c r="E57" s="316"/>
      <c r="F57" s="316"/>
    </row>
    <row r="58" spans="1:13" x14ac:dyDescent="0.25">
      <c r="A58" s="1107" t="s">
        <v>624</v>
      </c>
      <c r="B58" s="1107"/>
      <c r="C58" s="1107"/>
      <c r="D58" s="1107"/>
      <c r="E58" s="1107"/>
      <c r="F58" s="1107"/>
    </row>
    <row r="59" spans="1:13" ht="63.75" x14ac:dyDescent="0.25">
      <c r="A59" s="184" t="s">
        <v>3</v>
      </c>
      <c r="B59" s="184" t="s">
        <v>4</v>
      </c>
      <c r="C59" s="348" t="s">
        <v>790</v>
      </c>
      <c r="D59" s="348" t="s">
        <v>717</v>
      </c>
      <c r="E59" s="348" t="s">
        <v>715</v>
      </c>
      <c r="F59" s="348" t="s">
        <v>716</v>
      </c>
    </row>
    <row r="60" spans="1:13" ht="38.25" x14ac:dyDescent="0.25">
      <c r="A60" s="349" t="s">
        <v>254</v>
      </c>
      <c r="B60" s="197" t="s">
        <v>27</v>
      </c>
      <c r="C60" s="351">
        <v>50</v>
      </c>
      <c r="D60" s="352">
        <f>SUM(D61)</f>
        <v>101.4</v>
      </c>
      <c r="E60" s="352">
        <f>SUM(E61)</f>
        <v>101.4</v>
      </c>
      <c r="F60" s="352">
        <f>SUM(F61)</f>
        <v>101.4</v>
      </c>
    </row>
    <row r="61" spans="1:13" ht="51" x14ac:dyDescent="0.25">
      <c r="A61" s="349" t="s">
        <v>255</v>
      </c>
      <c r="B61" s="364" t="s">
        <v>28</v>
      </c>
      <c r="C61" s="351">
        <v>50</v>
      </c>
      <c r="D61" s="647">
        <f>ROUND((C67*C61%),1)</f>
        <v>101.4</v>
      </c>
      <c r="E61" s="352">
        <f>D61</f>
        <v>101.4</v>
      </c>
      <c r="F61" s="352">
        <f>E61</f>
        <v>101.4</v>
      </c>
    </row>
    <row r="62" spans="1:13" x14ac:dyDescent="0.25">
      <c r="A62" s="339"/>
      <c r="B62" s="544"/>
      <c r="C62" s="341"/>
      <c r="D62" s="316"/>
      <c r="E62" s="316"/>
      <c r="F62" s="316"/>
      <c r="G62" s="528"/>
      <c r="H62" s="528"/>
    </row>
    <row r="63" spans="1:13" ht="26.25" customHeight="1" x14ac:dyDescent="0.25">
      <c r="B63" s="348" t="s">
        <v>251</v>
      </c>
      <c r="C63" s="350">
        <v>165</v>
      </c>
      <c r="D63" s="316"/>
      <c r="E63" s="1075" t="s">
        <v>757</v>
      </c>
      <c r="F63" s="1075"/>
      <c r="G63" s="528"/>
      <c r="H63" s="528"/>
    </row>
    <row r="64" spans="1:13" ht="25.5" x14ac:dyDescent="0.25">
      <c r="B64" s="348" t="s">
        <v>252</v>
      </c>
      <c r="C64" s="350">
        <v>275</v>
      </c>
      <c r="D64" s="316"/>
      <c r="E64" s="1075"/>
      <c r="F64" s="1075"/>
      <c r="G64" s="528"/>
      <c r="H64" s="528"/>
    </row>
    <row r="65" spans="1:10" ht="25.5" x14ac:dyDescent="0.25">
      <c r="B65" s="348" t="s">
        <v>253</v>
      </c>
      <c r="C65" s="350">
        <v>162</v>
      </c>
      <c r="D65" s="316"/>
      <c r="E65" s="1075"/>
      <c r="F65" s="1075"/>
      <c r="G65" s="528"/>
      <c r="H65" s="528"/>
    </row>
    <row r="66" spans="1:10" ht="25.5" x14ac:dyDescent="0.25">
      <c r="B66" s="348" t="s">
        <v>622</v>
      </c>
      <c r="C66" s="350">
        <v>209</v>
      </c>
      <c r="D66" s="316"/>
      <c r="E66" s="1075"/>
      <c r="F66" s="1075"/>
      <c r="G66" s="528"/>
      <c r="H66" s="528"/>
    </row>
    <row r="67" spans="1:10" ht="25.5" x14ac:dyDescent="0.25">
      <c r="B67" s="359" t="s">
        <v>623</v>
      </c>
      <c r="C67" s="350">
        <f>AVERAGE(C63:C66)</f>
        <v>202.75</v>
      </c>
      <c r="D67" s="316"/>
      <c r="E67" s="1075"/>
      <c r="F67" s="1075"/>
      <c r="G67" s="528"/>
      <c r="H67" s="528"/>
    </row>
    <row r="68" spans="1:10" x14ac:dyDescent="0.25">
      <c r="A68" s="339"/>
      <c r="B68" s="340"/>
      <c r="C68" s="341"/>
      <c r="D68" s="316"/>
      <c r="E68" s="316"/>
      <c r="F68" s="316"/>
      <c r="G68" s="528"/>
      <c r="H68" s="528"/>
    </row>
    <row r="69" spans="1:10" x14ac:dyDescent="0.25">
      <c r="A69" s="1092" t="s">
        <v>256</v>
      </c>
      <c r="B69" s="1092"/>
      <c r="C69" s="1092"/>
      <c r="D69" s="1092"/>
      <c r="E69" s="1092"/>
      <c r="F69" s="1092"/>
    </row>
    <row r="70" spans="1:10" ht="11.25" customHeight="1" x14ac:dyDescent="0.25">
      <c r="A70" s="339"/>
      <c r="B70" s="340"/>
      <c r="C70" s="341"/>
      <c r="D70" s="316"/>
      <c r="E70" s="316"/>
      <c r="F70" s="316"/>
      <c r="H70" s="354"/>
      <c r="I70" s="289"/>
      <c r="J70" s="289"/>
    </row>
    <row r="71" spans="1:10" ht="70.5" customHeight="1" x14ac:dyDescent="0.25">
      <c r="A71" s="184" t="s">
        <v>3</v>
      </c>
      <c r="B71" s="170" t="s">
        <v>4</v>
      </c>
      <c r="C71" s="342" t="str">
        <f>C7</f>
        <v>Фактически поступило (по состоянию на 01.10.2019), рублей</v>
      </c>
      <c r="D71" s="342" t="str">
        <f>D7</f>
        <v>Ожидаемая оценка поступлений в 2019 году, рублей</v>
      </c>
      <c r="E71" s="342" t="str">
        <f>E7</f>
        <v>Проект бюджета на 2020 год, рублей</v>
      </c>
      <c r="F71" s="342" t="str">
        <f>F7</f>
        <v>Проект бюджета на 2020 год, тыс. рублей</v>
      </c>
      <c r="H71" s="354"/>
    </row>
    <row r="72" spans="1:10" ht="30" customHeight="1" x14ac:dyDescent="0.25">
      <c r="A72" s="355" t="s">
        <v>34</v>
      </c>
      <c r="B72" s="174" t="s">
        <v>33</v>
      </c>
      <c r="C72" s="356">
        <v>290182.17</v>
      </c>
      <c r="D72" s="356">
        <v>999411.07000000007</v>
      </c>
      <c r="E72" s="356">
        <f>G93</f>
        <v>999411.07000000007</v>
      </c>
      <c r="F72" s="357">
        <f>ROUND(E72/1000,1)</f>
        <v>999.4</v>
      </c>
      <c r="H72" s="298"/>
      <c r="I72" s="298"/>
    </row>
    <row r="73" spans="1:10" s="290" customFormat="1" ht="11.25" customHeight="1" x14ac:dyDescent="0.25">
      <c r="A73" s="320"/>
      <c r="B73" s="340"/>
      <c r="C73" s="358"/>
      <c r="D73" s="358"/>
      <c r="E73" s="358"/>
      <c r="F73" s="358"/>
    </row>
    <row r="74" spans="1:10" s="290" customFormat="1" ht="15.75" customHeight="1" x14ac:dyDescent="0.25">
      <c r="A74" s="1111" t="s">
        <v>257</v>
      </c>
      <c r="B74" s="1111"/>
      <c r="C74" s="1111"/>
      <c r="D74" s="1111"/>
      <c r="E74" s="1111"/>
      <c r="F74" s="1111"/>
      <c r="G74" s="1111"/>
    </row>
    <row r="75" spans="1:10" s="290" customFormat="1" ht="38.25" x14ac:dyDescent="0.25">
      <c r="A75" s="349" t="s">
        <v>258</v>
      </c>
      <c r="B75" s="359" t="s">
        <v>259</v>
      </c>
      <c r="C75" s="348" t="s">
        <v>260</v>
      </c>
      <c r="D75" s="348" t="s">
        <v>747</v>
      </c>
      <c r="E75" s="348" t="s">
        <v>792</v>
      </c>
      <c r="F75" s="348" t="s">
        <v>748</v>
      </c>
      <c r="G75" s="348" t="s">
        <v>793</v>
      </c>
      <c r="I75" s="659"/>
    </row>
    <row r="76" spans="1:10" s="290" customFormat="1" ht="25.5" hidden="1" x14ac:dyDescent="0.25">
      <c r="A76" s="353"/>
      <c r="B76" s="360" t="s">
        <v>261</v>
      </c>
      <c r="C76" s="361" t="s">
        <v>262</v>
      </c>
      <c r="D76" s="288"/>
      <c r="E76" s="362"/>
      <c r="F76" s="363"/>
      <c r="G76" s="362">
        <f>E76*F76%</f>
        <v>0</v>
      </c>
    </row>
    <row r="77" spans="1:10" s="290" customFormat="1" x14ac:dyDescent="0.25">
      <c r="A77" s="349" t="s">
        <v>263</v>
      </c>
      <c r="B77" s="364" t="s">
        <v>264</v>
      </c>
      <c r="C77" s="365" t="s">
        <v>265</v>
      </c>
      <c r="D77" s="661">
        <v>19.3688</v>
      </c>
      <c r="E77" s="666">
        <v>161427342.80000001</v>
      </c>
      <c r="F77" s="664">
        <v>0.3</v>
      </c>
      <c r="G77" s="663">
        <f>ROUND(E77*F77%,2)</f>
        <v>484282.03</v>
      </c>
      <c r="H77" s="658"/>
    </row>
    <row r="78" spans="1:10" s="290" customFormat="1" x14ac:dyDescent="0.25">
      <c r="A78" s="349" t="s">
        <v>266</v>
      </c>
      <c r="B78" s="364" t="s">
        <v>267</v>
      </c>
      <c r="C78" s="365"/>
      <c r="D78" s="661">
        <f>SUM(D79:D89)</f>
        <v>155.83110000000002</v>
      </c>
      <c r="E78" s="666">
        <f>SUM(E79:E89)</f>
        <v>134322124.58000001</v>
      </c>
      <c r="F78" s="664">
        <v>0.3</v>
      </c>
      <c r="G78" s="663">
        <f>SUM(G79:G89)</f>
        <v>402966.37</v>
      </c>
    </row>
    <row r="79" spans="1:10" s="290" customFormat="1" x14ac:dyDescent="0.25">
      <c r="A79" s="349" t="s">
        <v>268</v>
      </c>
      <c r="B79" s="660" t="s">
        <v>744</v>
      </c>
      <c r="C79" s="366" t="s">
        <v>269</v>
      </c>
      <c r="D79" s="661">
        <v>8.1343999999999994</v>
      </c>
      <c r="E79" s="667">
        <v>1322653.44</v>
      </c>
      <c r="F79" s="664">
        <v>0.3</v>
      </c>
      <c r="G79" s="663">
        <f t="shared" ref="G79:G92" si="2">ROUND(E79*F79%,2)</f>
        <v>3967.96</v>
      </c>
    </row>
    <row r="80" spans="1:10" s="290" customFormat="1" x14ac:dyDescent="0.25">
      <c r="A80" s="349" t="s">
        <v>270</v>
      </c>
      <c r="B80" s="660" t="s">
        <v>746</v>
      </c>
      <c r="C80" s="366" t="s">
        <v>745</v>
      </c>
      <c r="D80" s="661">
        <v>135.88489999999999</v>
      </c>
      <c r="E80" s="667">
        <v>22094884.739999998</v>
      </c>
      <c r="F80" s="664">
        <v>0.3</v>
      </c>
      <c r="G80" s="663">
        <f t="shared" si="2"/>
        <v>66284.649999999994</v>
      </c>
    </row>
    <row r="81" spans="1:9" s="290" customFormat="1" x14ac:dyDescent="0.25">
      <c r="A81" s="349" t="s">
        <v>272</v>
      </c>
      <c r="B81" s="660" t="s">
        <v>742</v>
      </c>
      <c r="C81" s="366" t="s">
        <v>271</v>
      </c>
      <c r="D81" s="661">
        <v>0.9</v>
      </c>
      <c r="E81" s="667">
        <v>146340</v>
      </c>
      <c r="F81" s="664">
        <v>0.3</v>
      </c>
      <c r="G81" s="663">
        <f t="shared" si="2"/>
        <v>439.02</v>
      </c>
    </row>
    <row r="82" spans="1:9" s="290" customFormat="1" x14ac:dyDescent="0.25">
      <c r="A82" s="349" t="s">
        <v>274</v>
      </c>
      <c r="B82" s="660" t="s">
        <v>740</v>
      </c>
      <c r="C82" s="366" t="s">
        <v>273</v>
      </c>
      <c r="D82" s="661">
        <v>7.7282999999999999</v>
      </c>
      <c r="E82" s="667">
        <v>72812152.099999994</v>
      </c>
      <c r="F82" s="664">
        <v>0.3</v>
      </c>
      <c r="G82" s="663">
        <f t="shared" si="2"/>
        <v>218436.46</v>
      </c>
    </row>
    <row r="83" spans="1:9" s="290" customFormat="1" x14ac:dyDescent="0.25">
      <c r="A83" s="349" t="s">
        <v>276</v>
      </c>
      <c r="B83" s="660" t="s">
        <v>740</v>
      </c>
      <c r="C83" s="366" t="s">
        <v>275</v>
      </c>
      <c r="D83" s="661">
        <v>3.7900000000000003E-2</v>
      </c>
      <c r="E83" s="667">
        <v>595124.53</v>
      </c>
      <c r="F83" s="664">
        <v>0.3</v>
      </c>
      <c r="G83" s="663">
        <f t="shared" si="2"/>
        <v>1785.37</v>
      </c>
    </row>
    <row r="84" spans="1:9" s="290" customFormat="1" x14ac:dyDescent="0.25">
      <c r="A84" s="349" t="s">
        <v>278</v>
      </c>
      <c r="B84" s="660" t="s">
        <v>740</v>
      </c>
      <c r="C84" s="366" t="s">
        <v>277</v>
      </c>
      <c r="D84" s="661">
        <v>3.7900000000000003E-2</v>
      </c>
      <c r="E84" s="667">
        <v>595124.53</v>
      </c>
      <c r="F84" s="664">
        <v>0.3</v>
      </c>
      <c r="G84" s="663">
        <f t="shared" si="2"/>
        <v>1785.37</v>
      </c>
    </row>
    <row r="85" spans="1:9" s="290" customFormat="1" x14ac:dyDescent="0.25">
      <c r="A85" s="349" t="s">
        <v>280</v>
      </c>
      <c r="B85" s="660" t="s">
        <v>741</v>
      </c>
      <c r="C85" s="366" t="s">
        <v>279</v>
      </c>
      <c r="D85" s="661">
        <v>1.2578</v>
      </c>
      <c r="E85" s="667">
        <v>14727685.630000001</v>
      </c>
      <c r="F85" s="664">
        <v>0.3</v>
      </c>
      <c r="G85" s="663">
        <f t="shared" si="2"/>
        <v>44183.06</v>
      </c>
    </row>
    <row r="86" spans="1:9" s="290" customFormat="1" x14ac:dyDescent="0.25">
      <c r="A86" s="349" t="s">
        <v>282</v>
      </c>
      <c r="B86" s="660" t="s">
        <v>740</v>
      </c>
      <c r="C86" s="366" t="s">
        <v>281</v>
      </c>
      <c r="D86" s="661">
        <v>0.25540000000000002</v>
      </c>
      <c r="E86" s="667">
        <v>3331731.09</v>
      </c>
      <c r="F86" s="664">
        <v>0.3</v>
      </c>
      <c r="G86" s="663">
        <f t="shared" si="2"/>
        <v>9995.19</v>
      </c>
    </row>
    <row r="87" spans="1:9" s="290" customFormat="1" x14ac:dyDescent="0.25">
      <c r="A87" s="349" t="s">
        <v>284</v>
      </c>
      <c r="B87" s="660" t="s">
        <v>791</v>
      </c>
      <c r="C87" s="366" t="s">
        <v>283</v>
      </c>
      <c r="D87" s="661">
        <v>0.1986</v>
      </c>
      <c r="E87" s="667">
        <v>2662732.36</v>
      </c>
      <c r="F87" s="664">
        <v>0.3</v>
      </c>
      <c r="G87" s="663">
        <f t="shared" si="2"/>
        <v>7988.2</v>
      </c>
    </row>
    <row r="88" spans="1:9" s="290" customFormat="1" x14ac:dyDescent="0.25">
      <c r="A88" s="349" t="s">
        <v>286</v>
      </c>
      <c r="B88" s="660" t="s">
        <v>739</v>
      </c>
      <c r="C88" s="367" t="s">
        <v>285</v>
      </c>
      <c r="D88" s="661">
        <v>0.12709999999999999</v>
      </c>
      <c r="E88" s="667">
        <v>1780856.12</v>
      </c>
      <c r="F88" s="664">
        <v>0.3</v>
      </c>
      <c r="G88" s="663">
        <f t="shared" si="2"/>
        <v>5342.57</v>
      </c>
    </row>
    <row r="89" spans="1:9" s="290" customFormat="1" ht="12.75" customHeight="1" x14ac:dyDescent="0.25">
      <c r="A89" s="349" t="s">
        <v>743</v>
      </c>
      <c r="B89" s="291"/>
      <c r="C89" s="366" t="s">
        <v>287</v>
      </c>
      <c r="D89" s="661">
        <v>1.2687999999999999</v>
      </c>
      <c r="E89" s="667">
        <v>14252840.039999999</v>
      </c>
      <c r="F89" s="664">
        <v>0.3</v>
      </c>
      <c r="G89" s="663">
        <f t="shared" si="2"/>
        <v>42758.52</v>
      </c>
    </row>
    <row r="90" spans="1:9" s="290" customFormat="1" x14ac:dyDescent="0.25">
      <c r="A90" s="349" t="s">
        <v>288</v>
      </c>
      <c r="B90" s="368" t="s">
        <v>289</v>
      </c>
      <c r="C90" s="365" t="s">
        <v>736</v>
      </c>
      <c r="D90" s="661">
        <v>1.1498999999999999</v>
      </c>
      <c r="E90" s="666">
        <v>29587616.940000001</v>
      </c>
      <c r="F90" s="664">
        <v>0.3</v>
      </c>
      <c r="G90" s="663">
        <f t="shared" si="2"/>
        <v>88762.85</v>
      </c>
    </row>
    <row r="91" spans="1:9" s="290" customFormat="1" x14ac:dyDescent="0.25">
      <c r="A91" s="349" t="s">
        <v>732</v>
      </c>
      <c r="B91" s="368" t="s">
        <v>734</v>
      </c>
      <c r="C91" s="365" t="s">
        <v>737</v>
      </c>
      <c r="D91" s="661">
        <v>0.19040000000000001</v>
      </c>
      <c r="E91" s="666">
        <v>2099723.1</v>
      </c>
      <c r="F91" s="664">
        <v>0.3</v>
      </c>
      <c r="G91" s="663">
        <f t="shared" si="2"/>
        <v>6299.17</v>
      </c>
    </row>
    <row r="92" spans="1:9" s="290" customFormat="1" x14ac:dyDescent="0.25">
      <c r="A92" s="349" t="s">
        <v>733</v>
      </c>
      <c r="B92" s="368" t="s">
        <v>735</v>
      </c>
      <c r="C92" s="365" t="s">
        <v>738</v>
      </c>
      <c r="D92" s="661">
        <v>0.16039999999999999</v>
      </c>
      <c r="E92" s="666">
        <v>1140043</v>
      </c>
      <c r="F92" s="664">
        <v>1.5</v>
      </c>
      <c r="G92" s="663">
        <f t="shared" si="2"/>
        <v>17100.650000000001</v>
      </c>
    </row>
    <row r="93" spans="1:9" s="290" customFormat="1" x14ac:dyDescent="0.25">
      <c r="A93" s="1100" t="s">
        <v>249</v>
      </c>
      <c r="B93" s="1100"/>
      <c r="C93" s="369" t="s">
        <v>290</v>
      </c>
      <c r="D93" s="662">
        <f>D76+D77+D78+D90+D91+D92</f>
        <v>176.70060000000004</v>
      </c>
      <c r="E93" s="668">
        <f>E76+E77+E78+E90+E91+E92</f>
        <v>328576850.42000002</v>
      </c>
      <c r="F93" s="369" t="s">
        <v>290</v>
      </c>
      <c r="G93" s="665">
        <f>G76+G77+G78+G90+G91+G92</f>
        <v>999411.07000000007</v>
      </c>
      <c r="I93" s="669"/>
    </row>
    <row r="94" spans="1:9" s="290" customFormat="1" ht="11.25" customHeight="1" x14ac:dyDescent="0.25">
      <c r="A94" s="320"/>
      <c r="B94" s="340"/>
      <c r="C94" s="358"/>
      <c r="D94" s="358"/>
      <c r="E94" s="358"/>
      <c r="F94" s="358"/>
    </row>
    <row r="95" spans="1:9" s="290" customFormat="1" ht="15" customHeight="1" x14ac:dyDescent="0.25">
      <c r="A95" s="320"/>
      <c r="B95" s="370"/>
      <c r="C95" s="358"/>
      <c r="D95" s="358"/>
      <c r="E95" s="358"/>
      <c r="F95" s="358"/>
    </row>
    <row r="96" spans="1:9" s="290" customFormat="1" ht="15.75" customHeight="1" x14ac:dyDescent="0.25">
      <c r="A96" s="1093" t="s">
        <v>291</v>
      </c>
      <c r="B96" s="1093"/>
      <c r="C96" s="1093"/>
      <c r="D96" s="1093"/>
      <c r="E96" s="1093"/>
      <c r="F96" s="1093"/>
    </row>
    <row r="97" spans="1:6" s="290" customFormat="1" ht="15" customHeight="1" x14ac:dyDescent="0.25">
      <c r="A97" s="320"/>
      <c r="B97" s="340"/>
      <c r="C97" s="358"/>
      <c r="D97" s="358"/>
      <c r="E97" s="358"/>
      <c r="F97" s="358"/>
    </row>
    <row r="98" spans="1:6" ht="66.75" customHeight="1" x14ac:dyDescent="0.25">
      <c r="A98" s="184" t="s">
        <v>3</v>
      </c>
      <c r="B98" s="170" t="s">
        <v>4</v>
      </c>
      <c r="C98" s="342" t="str">
        <f>C7</f>
        <v>Фактически поступило (по состоянию на 01.10.2019), рублей</v>
      </c>
      <c r="D98" s="342" t="str">
        <f>D7</f>
        <v>Ожидаемая оценка поступлений в 2019 году, рублей</v>
      </c>
      <c r="E98" s="342" t="str">
        <f>E7</f>
        <v>Проект бюджета на 2020 год, рублей</v>
      </c>
      <c r="F98" s="342" t="str">
        <f>F7</f>
        <v>Проект бюджета на 2020 год, тыс. рублей</v>
      </c>
    </row>
    <row r="99" spans="1:6" ht="108" customHeight="1" x14ac:dyDescent="0.25">
      <c r="A99" s="192" t="s">
        <v>41</v>
      </c>
      <c r="B99" s="197" t="s">
        <v>326</v>
      </c>
      <c r="C99" s="310">
        <v>10560</v>
      </c>
      <c r="D99" s="310">
        <f>D108</f>
        <v>14080</v>
      </c>
      <c r="E99" s="311">
        <f>D109</f>
        <v>19590</v>
      </c>
      <c r="F99" s="357">
        <f>ROUND(E99/1000,1)</f>
        <v>19.600000000000001</v>
      </c>
    </row>
    <row r="100" spans="1:6" x14ac:dyDescent="0.25">
      <c r="A100" s="320"/>
      <c r="B100" s="340"/>
      <c r="C100" s="316"/>
      <c r="D100" s="316"/>
      <c r="E100" s="316"/>
      <c r="F100" s="316"/>
    </row>
    <row r="101" spans="1:6" ht="15.75" x14ac:dyDescent="0.25">
      <c r="A101" s="317"/>
      <c r="B101" s="1105" t="s">
        <v>292</v>
      </c>
      <c r="C101" s="1105"/>
      <c r="D101" s="1105"/>
      <c r="E101" s="317"/>
      <c r="F101" s="317"/>
    </row>
    <row r="102" spans="1:6" ht="25.5" x14ac:dyDescent="0.25">
      <c r="A102" s="320"/>
      <c r="B102" s="321" t="s">
        <v>233</v>
      </c>
      <c r="C102" s="321" t="s">
        <v>234</v>
      </c>
      <c r="D102" s="322" t="s">
        <v>293</v>
      </c>
      <c r="E102" s="335"/>
    </row>
    <row r="103" spans="1:6" x14ac:dyDescent="0.25">
      <c r="A103" s="320"/>
      <c r="B103" s="1087" t="s">
        <v>238</v>
      </c>
      <c r="C103" s="321">
        <v>2015</v>
      </c>
      <c r="D103" s="371">
        <v>27020</v>
      </c>
      <c r="E103" s="372"/>
    </row>
    <row r="104" spans="1:6" x14ac:dyDescent="0.25">
      <c r="A104" s="320"/>
      <c r="B104" s="1088"/>
      <c r="C104" s="321">
        <v>2016</v>
      </c>
      <c r="D104" s="371">
        <v>25540</v>
      </c>
      <c r="E104" s="372"/>
    </row>
    <row r="105" spans="1:6" x14ac:dyDescent="0.25">
      <c r="A105" s="320"/>
      <c r="B105" s="1088"/>
      <c r="C105" s="321">
        <v>2017</v>
      </c>
      <c r="D105" s="371">
        <v>23290</v>
      </c>
      <c r="E105" s="372"/>
    </row>
    <row r="106" spans="1:6" x14ac:dyDescent="0.25">
      <c r="A106" s="446"/>
      <c r="B106" s="1089"/>
      <c r="C106" s="644">
        <v>2018</v>
      </c>
      <c r="D106" s="371">
        <v>21400</v>
      </c>
      <c r="E106" s="372"/>
    </row>
    <row r="107" spans="1:6" x14ac:dyDescent="0.25">
      <c r="A107" s="320"/>
      <c r="B107" s="322" t="str">
        <f>B15</f>
        <v>Фактически исполнено за 9 месяцев</v>
      </c>
      <c r="C107" s="1106">
        <v>2019</v>
      </c>
      <c r="D107" s="373">
        <f>C99</f>
        <v>10560</v>
      </c>
      <c r="E107" s="372"/>
    </row>
    <row r="108" spans="1:6" x14ac:dyDescent="0.25">
      <c r="A108" s="320"/>
      <c r="B108" s="322" t="s">
        <v>239</v>
      </c>
      <c r="C108" s="1106"/>
      <c r="D108" s="448">
        <f>D107/9*12</f>
        <v>14080</v>
      </c>
      <c r="E108" s="372"/>
    </row>
    <row r="109" spans="1:6" s="290" customFormat="1" x14ac:dyDescent="0.25">
      <c r="A109" s="320"/>
      <c r="B109" s="1095" t="s">
        <v>240</v>
      </c>
      <c r="C109" s="1097">
        <v>2020</v>
      </c>
      <c r="D109" s="333">
        <f>ROUND((D105+D106+D108)/3,0)</f>
        <v>19590</v>
      </c>
      <c r="E109" s="374"/>
    </row>
    <row r="110" spans="1:6" s="290" customFormat="1" x14ac:dyDescent="0.25">
      <c r="A110" s="320"/>
      <c r="B110" s="1095"/>
      <c r="C110" s="1097"/>
      <c r="D110" s="377" t="s">
        <v>294</v>
      </c>
      <c r="E110" s="317"/>
    </row>
    <row r="111" spans="1:6" s="290" customFormat="1" ht="14.25" customHeight="1" x14ac:dyDescent="0.25">
      <c r="A111" s="320"/>
      <c r="B111" s="378"/>
      <c r="C111" s="379"/>
      <c r="D111" s="380"/>
      <c r="E111" s="312"/>
      <c r="F111" s="316"/>
    </row>
    <row r="112" spans="1:6" s="290" customFormat="1" ht="14.25" customHeight="1" x14ac:dyDescent="0.25">
      <c r="A112" s="445"/>
      <c r="B112" s="378"/>
      <c r="C112" s="379"/>
      <c r="D112" s="380"/>
      <c r="E112" s="312"/>
      <c r="F112" s="316"/>
    </row>
    <row r="113" spans="1:6" s="290" customFormat="1" ht="14.25" customHeight="1" x14ac:dyDescent="0.25">
      <c r="A113" s="445"/>
      <c r="B113" s="378"/>
      <c r="C113" s="279">
        <v>2012</v>
      </c>
      <c r="D113" s="354">
        <v>25.1</v>
      </c>
      <c r="E113" s="312"/>
      <c r="F113" s="316"/>
    </row>
    <row r="114" spans="1:6" s="290" customFormat="1" ht="14.25" customHeight="1" x14ac:dyDescent="0.25">
      <c r="A114" s="445"/>
      <c r="B114" s="378"/>
      <c r="C114" s="279">
        <v>2013</v>
      </c>
      <c r="D114" s="354">
        <v>24.6</v>
      </c>
      <c r="E114" s="312"/>
      <c r="F114" s="316"/>
    </row>
    <row r="115" spans="1:6" s="290" customFormat="1" ht="14.25" customHeight="1" x14ac:dyDescent="0.25">
      <c r="A115" s="445"/>
      <c r="B115" s="378"/>
      <c r="C115" s="279">
        <v>2014</v>
      </c>
      <c r="D115" s="354">
        <v>21.3</v>
      </c>
      <c r="E115" s="312"/>
      <c r="F115" s="316"/>
    </row>
    <row r="116" spans="1:6" s="290" customFormat="1" ht="14.25" customHeight="1" x14ac:dyDescent="0.25">
      <c r="A116" s="445"/>
      <c r="B116" s="378"/>
      <c r="C116" s="279">
        <v>2015</v>
      </c>
      <c r="D116" s="354">
        <v>27</v>
      </c>
      <c r="E116" s="312"/>
      <c r="F116" s="316"/>
    </row>
    <row r="117" spans="1:6" s="290" customFormat="1" ht="14.25" customHeight="1" x14ac:dyDescent="0.25">
      <c r="A117" s="445"/>
      <c r="B117" s="378"/>
      <c r="C117" s="279">
        <v>2016</v>
      </c>
      <c r="D117" s="354">
        <v>27.3</v>
      </c>
      <c r="E117" s="312"/>
      <c r="F117" s="316"/>
    </row>
    <row r="118" spans="1:6" s="290" customFormat="1" ht="14.25" customHeight="1" x14ac:dyDescent="0.25">
      <c r="A118" s="445"/>
      <c r="B118" s="378"/>
      <c r="C118" s="290">
        <v>2017</v>
      </c>
      <c r="D118" s="449">
        <v>23.3</v>
      </c>
      <c r="E118" s="312"/>
      <c r="F118" s="316"/>
    </row>
    <row r="119" spans="1:6" s="290" customFormat="1" ht="14.25" customHeight="1" x14ac:dyDescent="0.25">
      <c r="A119" s="445"/>
      <c r="B119" s="378"/>
      <c r="C119" s="375">
        <v>2018</v>
      </c>
      <c r="D119" s="449">
        <v>21.4</v>
      </c>
      <c r="E119" s="449"/>
      <c r="F119" s="316"/>
    </row>
    <row r="120" spans="1:6" s="290" customFormat="1" ht="14.25" customHeight="1" x14ac:dyDescent="0.25">
      <c r="A120" s="445"/>
      <c r="B120" s="378"/>
      <c r="C120" s="375">
        <v>2019</v>
      </c>
      <c r="D120" s="449">
        <f>ROUND(D108/1000,1)</f>
        <v>14.1</v>
      </c>
      <c r="E120" s="312"/>
      <c r="F120" s="316"/>
    </row>
    <row r="121" spans="1:6" s="290" customFormat="1" ht="14.25" customHeight="1" x14ac:dyDescent="0.25">
      <c r="A121" s="445"/>
      <c r="B121" s="378"/>
      <c r="C121" s="375">
        <v>2020</v>
      </c>
      <c r="D121" s="449">
        <f>ROUND(D109/1000,1)</f>
        <v>19.600000000000001</v>
      </c>
      <c r="E121" s="312"/>
      <c r="F121" s="316"/>
    </row>
    <row r="122" spans="1:6" s="290" customFormat="1" ht="14.25" customHeight="1" x14ac:dyDescent="0.25">
      <c r="A122" s="445"/>
      <c r="B122" s="378"/>
      <c r="C122" s="379"/>
      <c r="D122" s="380"/>
      <c r="E122" s="312"/>
      <c r="F122" s="316"/>
    </row>
    <row r="123" spans="1:6" s="290" customFormat="1" ht="14.25" customHeight="1" x14ac:dyDescent="0.25">
      <c r="A123" s="445"/>
      <c r="B123" s="378"/>
      <c r="C123" s="379"/>
      <c r="D123" s="380"/>
      <c r="E123" s="312"/>
      <c r="F123" s="316"/>
    </row>
    <row r="124" spans="1:6" s="290" customFormat="1" ht="14.25" customHeight="1" x14ac:dyDescent="0.25">
      <c r="A124" s="445"/>
      <c r="B124" s="378"/>
      <c r="C124" s="379"/>
      <c r="D124" s="380"/>
      <c r="E124" s="312"/>
      <c r="F124" s="316"/>
    </row>
    <row r="125" spans="1:6" s="290" customFormat="1" ht="14.25" customHeight="1" x14ac:dyDescent="0.25">
      <c r="A125" s="445"/>
      <c r="B125" s="378"/>
      <c r="C125" s="379"/>
      <c r="D125" s="380"/>
      <c r="E125" s="312"/>
      <c r="F125" s="316"/>
    </row>
    <row r="126" spans="1:6" s="290" customFormat="1" ht="15.75" x14ac:dyDescent="0.25">
      <c r="A126" s="1081" t="s">
        <v>295</v>
      </c>
      <c r="B126" s="1081"/>
      <c r="C126" s="1081"/>
      <c r="D126" s="1081"/>
      <c r="E126" s="1081"/>
      <c r="F126" s="1081"/>
    </row>
    <row r="127" spans="1:6" s="290" customFormat="1" x14ac:dyDescent="0.25">
      <c r="A127" s="320"/>
      <c r="B127" s="340"/>
      <c r="C127" s="316"/>
      <c r="D127" s="316"/>
      <c r="E127" s="316"/>
      <c r="F127" s="316"/>
    </row>
    <row r="128" spans="1:6" s="290" customFormat="1" x14ac:dyDescent="0.25">
      <c r="A128" s="1093" t="s">
        <v>296</v>
      </c>
      <c r="B128" s="1093"/>
      <c r="C128" s="1093"/>
      <c r="D128" s="1093"/>
      <c r="E128" s="1093"/>
      <c r="F128" s="1093"/>
    </row>
    <row r="129" spans="1:15" x14ac:dyDescent="0.25">
      <c r="A129" s="320"/>
      <c r="B129" s="340"/>
      <c r="C129" s="316"/>
      <c r="D129" s="316"/>
      <c r="E129" s="316"/>
      <c r="F129" s="316"/>
    </row>
    <row r="130" spans="1:15" ht="71.25" customHeight="1" x14ac:dyDescent="0.25">
      <c r="A130" s="184" t="s">
        <v>3</v>
      </c>
      <c r="B130" s="170" t="s">
        <v>4</v>
      </c>
      <c r="C130" s="342" t="str">
        <f>C7</f>
        <v>Фактически поступило (по состоянию на 01.10.2019), рублей</v>
      </c>
      <c r="D130" s="342" t="str">
        <f>D7</f>
        <v>Ожидаемая оценка поступлений в 2019 году, рублей</v>
      </c>
      <c r="E130" s="342" t="str">
        <f>E7</f>
        <v>Проект бюджета на 2020 год, рублей</v>
      </c>
      <c r="F130" s="342" t="str">
        <f>F7</f>
        <v>Проект бюджета на 2020 год, тыс. рублей</v>
      </c>
      <c r="G130" s="342" t="s">
        <v>720</v>
      </c>
      <c r="H130" s="342" t="s">
        <v>721</v>
      </c>
    </row>
    <row r="131" spans="1:15" ht="105" customHeight="1" x14ac:dyDescent="0.25">
      <c r="A131" s="381" t="s">
        <v>49</v>
      </c>
      <c r="B131" s="382" t="s">
        <v>297</v>
      </c>
      <c r="C131" s="383">
        <v>746122.02</v>
      </c>
      <c r="D131" s="383">
        <f>E145</f>
        <v>1184356.6499999999</v>
      </c>
      <c r="E131" s="384">
        <f>F145</f>
        <v>1260777</v>
      </c>
      <c r="F131" s="357">
        <f>ROUND(E131/1000,1)</f>
        <v>1260.8</v>
      </c>
      <c r="G131" s="460">
        <f>ROUND(G145/1000,1)</f>
        <v>1218.7</v>
      </c>
      <c r="H131" s="460">
        <f>ROUND(H145/1000,1)</f>
        <v>1218.7</v>
      </c>
      <c r="I131" s="298"/>
    </row>
    <row r="132" spans="1:15" x14ac:dyDescent="0.25">
      <c r="A132" s="339"/>
      <c r="B132" s="385"/>
      <c r="C132" s="341"/>
      <c r="D132" s="341"/>
      <c r="E132" s="341"/>
      <c r="F132" s="341"/>
    </row>
    <row r="133" spans="1:15" ht="14.45" customHeight="1" x14ac:dyDescent="0.25">
      <c r="A133" s="339"/>
      <c r="B133" s="1105" t="s">
        <v>298</v>
      </c>
      <c r="C133" s="1105"/>
      <c r="D133" s="1105"/>
      <c r="E133" s="1105"/>
      <c r="F133" s="1105"/>
      <c r="G133" s="912"/>
      <c r="H133" s="912"/>
      <c r="I133" s="911"/>
    </row>
    <row r="134" spans="1:15" ht="15" customHeight="1" x14ac:dyDescent="0.25">
      <c r="A134" s="339"/>
      <c r="B134" s="1095" t="s">
        <v>299</v>
      </c>
      <c r="C134" s="1112" t="s">
        <v>300</v>
      </c>
      <c r="D134" s="1112"/>
      <c r="E134" s="1112"/>
      <c r="F134" s="910" t="s">
        <v>564</v>
      </c>
      <c r="G134" s="1112" t="s">
        <v>564</v>
      </c>
      <c r="H134" s="1112"/>
      <c r="I134" s="715"/>
      <c r="J134" s="715"/>
      <c r="L134" s="1108">
        <v>2020</v>
      </c>
      <c r="M134" s="1109"/>
      <c r="N134" s="1109"/>
      <c r="O134" s="1110"/>
    </row>
    <row r="135" spans="1:15" ht="15" customHeight="1" x14ac:dyDescent="0.25">
      <c r="A135" s="339"/>
      <c r="B135" s="1095"/>
      <c r="C135" s="450" t="s">
        <v>301</v>
      </c>
      <c r="D135" s="450" t="s">
        <v>302</v>
      </c>
      <c r="E135" s="643" t="s">
        <v>303</v>
      </c>
      <c r="F135" s="643" t="s">
        <v>558</v>
      </c>
      <c r="G135" s="643" t="s">
        <v>559</v>
      </c>
      <c r="H135" s="643" t="s">
        <v>722</v>
      </c>
      <c r="L135" s="554" t="s">
        <v>631</v>
      </c>
      <c r="M135" s="554" t="s">
        <v>632</v>
      </c>
      <c r="N135" s="554" t="s">
        <v>633</v>
      </c>
      <c r="O135" s="554" t="s">
        <v>634</v>
      </c>
    </row>
    <row r="136" spans="1:15" ht="26.25" customHeight="1" x14ac:dyDescent="0.25">
      <c r="A136" s="705"/>
      <c r="B136" s="387" t="s">
        <v>304</v>
      </c>
      <c r="C136" s="451">
        <v>3037.5</v>
      </c>
      <c r="D136" s="452"/>
      <c r="E136" s="453">
        <f t="shared" ref="E136:E139" si="3">C136*12</f>
        <v>36450</v>
      </c>
      <c r="F136" s="451">
        <f>C136*12</f>
        <v>36450</v>
      </c>
      <c r="G136" s="451">
        <f>C136*12</f>
        <v>36450</v>
      </c>
      <c r="H136" s="451">
        <f>C136*12</f>
        <v>36450</v>
      </c>
      <c r="L136" s="545">
        <f>C136*3</f>
        <v>9112.5</v>
      </c>
      <c r="M136" s="545">
        <v>9112.5</v>
      </c>
      <c r="N136" s="545">
        <v>9112.5</v>
      </c>
      <c r="O136" s="545">
        <v>9112.5</v>
      </c>
    </row>
    <row r="137" spans="1:15" ht="18.75" customHeight="1" x14ac:dyDescent="0.25">
      <c r="A137" s="705"/>
      <c r="B137" s="187" t="s">
        <v>305</v>
      </c>
      <c r="C137" s="453">
        <v>8089</v>
      </c>
      <c r="D137" s="454"/>
      <c r="E137" s="453">
        <f t="shared" si="3"/>
        <v>97068</v>
      </c>
      <c r="F137" s="451">
        <f t="shared" ref="F137:F143" si="4">C137*12</f>
        <v>97068</v>
      </c>
      <c r="G137" s="451">
        <f t="shared" ref="G137:G143" si="5">C137*12</f>
        <v>97068</v>
      </c>
      <c r="H137" s="451">
        <f t="shared" ref="H137:H143" si="6">C137*12</f>
        <v>97068</v>
      </c>
      <c r="L137" s="706">
        <f t="shared" ref="L137:L143" si="7">C137*3</f>
        <v>24267</v>
      </c>
      <c r="M137" s="545">
        <v>24267</v>
      </c>
      <c r="N137" s="545">
        <v>24267</v>
      </c>
      <c r="O137" s="648">
        <v>24267</v>
      </c>
    </row>
    <row r="138" spans="1:15" ht="15.75" customHeight="1" x14ac:dyDescent="0.25">
      <c r="A138" s="705"/>
      <c r="B138" s="388" t="s">
        <v>306</v>
      </c>
      <c r="C138" s="455">
        <v>17484</v>
      </c>
      <c r="D138" s="456"/>
      <c r="E138" s="453">
        <f t="shared" si="3"/>
        <v>209808</v>
      </c>
      <c r="F138" s="451">
        <f t="shared" si="4"/>
        <v>209808</v>
      </c>
      <c r="G138" s="451">
        <f t="shared" si="5"/>
        <v>209808</v>
      </c>
      <c r="H138" s="451">
        <f t="shared" si="6"/>
        <v>209808</v>
      </c>
      <c r="L138" s="706">
        <f t="shared" si="7"/>
        <v>52452</v>
      </c>
      <c r="M138" s="545">
        <v>52452</v>
      </c>
      <c r="N138" s="545">
        <v>52452</v>
      </c>
      <c r="O138" s="545">
        <v>52452</v>
      </c>
    </row>
    <row r="139" spans="1:15" ht="15" customHeight="1" x14ac:dyDescent="0.25">
      <c r="A139" s="705"/>
      <c r="B139" s="389" t="s">
        <v>307</v>
      </c>
      <c r="C139" s="451">
        <v>4675</v>
      </c>
      <c r="D139" s="451">
        <v>14025</v>
      </c>
      <c r="E139" s="453">
        <f t="shared" si="3"/>
        <v>56100</v>
      </c>
      <c r="F139" s="451">
        <f t="shared" si="4"/>
        <v>56100</v>
      </c>
      <c r="G139" s="451">
        <f t="shared" si="5"/>
        <v>56100</v>
      </c>
      <c r="H139" s="451">
        <f t="shared" si="6"/>
        <v>56100</v>
      </c>
      <c r="L139" s="706">
        <f t="shared" si="7"/>
        <v>14025</v>
      </c>
      <c r="M139" s="545">
        <v>14025</v>
      </c>
      <c r="N139" s="545">
        <v>14025</v>
      </c>
      <c r="O139" s="545">
        <v>14025</v>
      </c>
    </row>
    <row r="140" spans="1:15" ht="26.25" x14ac:dyDescent="0.25">
      <c r="A140" s="705"/>
      <c r="B140" s="387" t="s">
        <v>555</v>
      </c>
      <c r="C140" s="451">
        <v>10998</v>
      </c>
      <c r="D140" s="457"/>
      <c r="E140" s="453">
        <f>C140*12</f>
        <v>131976</v>
      </c>
      <c r="F140" s="451">
        <f t="shared" si="4"/>
        <v>131976</v>
      </c>
      <c r="G140" s="451">
        <f t="shared" si="5"/>
        <v>131976</v>
      </c>
      <c r="H140" s="451">
        <f t="shared" si="6"/>
        <v>131976</v>
      </c>
      <c r="L140" s="706">
        <f t="shared" si="7"/>
        <v>32994</v>
      </c>
      <c r="M140" s="545">
        <v>32994</v>
      </c>
      <c r="N140" s="545">
        <v>32994</v>
      </c>
      <c r="O140" s="545">
        <v>32994</v>
      </c>
    </row>
    <row r="141" spans="1:15" x14ac:dyDescent="0.25">
      <c r="A141" s="705"/>
      <c r="B141" s="390" t="s">
        <v>308</v>
      </c>
      <c r="C141" s="458">
        <v>15555</v>
      </c>
      <c r="D141" s="457"/>
      <c r="E141" s="453">
        <v>152338.65</v>
      </c>
      <c r="F141" s="451">
        <f t="shared" si="4"/>
        <v>186660</v>
      </c>
      <c r="G141" s="451">
        <f t="shared" si="5"/>
        <v>186660</v>
      </c>
      <c r="H141" s="451">
        <f t="shared" si="6"/>
        <v>186660</v>
      </c>
      <c r="L141" s="706">
        <f t="shared" si="7"/>
        <v>46665</v>
      </c>
      <c r="M141" s="545">
        <v>46665</v>
      </c>
      <c r="N141" s="545">
        <v>46665</v>
      </c>
      <c r="O141" s="545">
        <v>46665</v>
      </c>
    </row>
    <row r="142" spans="1:15" x14ac:dyDescent="0.25">
      <c r="A142" s="705"/>
      <c r="B142" s="390" t="s">
        <v>556</v>
      </c>
      <c r="C142" s="458">
        <f>8132+8795+8132</f>
        <v>25059</v>
      </c>
      <c r="D142" s="457"/>
      <c r="E142" s="556">
        <f t="shared" ref="E142:E143" si="8">C142*12</f>
        <v>300708</v>
      </c>
      <c r="F142" s="451">
        <f t="shared" si="4"/>
        <v>300708</v>
      </c>
      <c r="G142" s="451">
        <f t="shared" si="5"/>
        <v>300708</v>
      </c>
      <c r="H142" s="451">
        <f t="shared" si="6"/>
        <v>300708</v>
      </c>
      <c r="L142" s="706">
        <f t="shared" si="7"/>
        <v>75177</v>
      </c>
      <c r="M142" s="545">
        <v>75177</v>
      </c>
      <c r="N142" s="545">
        <v>75177</v>
      </c>
      <c r="O142" s="545">
        <v>75177</v>
      </c>
    </row>
    <row r="143" spans="1:15" ht="26.25" x14ac:dyDescent="0.25">
      <c r="A143" s="705"/>
      <c r="B143" s="390" t="s">
        <v>557</v>
      </c>
      <c r="C143" s="458">
        <f>8581+8078</f>
        <v>16659</v>
      </c>
      <c r="D143" s="457"/>
      <c r="E143" s="453">
        <f t="shared" si="8"/>
        <v>199908</v>
      </c>
      <c r="F143" s="451">
        <f t="shared" si="4"/>
        <v>199908</v>
      </c>
      <c r="G143" s="451">
        <f t="shared" si="5"/>
        <v>199908</v>
      </c>
      <c r="H143" s="451">
        <f t="shared" si="6"/>
        <v>199908</v>
      </c>
      <c r="L143" s="706">
        <f t="shared" si="7"/>
        <v>49977</v>
      </c>
      <c r="M143" s="545">
        <v>49977</v>
      </c>
      <c r="N143" s="545">
        <v>49977</v>
      </c>
      <c r="O143" s="545">
        <v>49977</v>
      </c>
    </row>
    <row r="144" spans="1:15" ht="26.25" x14ac:dyDescent="0.25">
      <c r="A144" s="705"/>
      <c r="B144" s="966" t="s">
        <v>915</v>
      </c>
      <c r="C144" s="967">
        <f>7048+6985</f>
        <v>14033</v>
      </c>
      <c r="D144" s="457"/>
      <c r="E144" s="453"/>
      <c r="F144" s="967">
        <f>C144*3</f>
        <v>42099</v>
      </c>
      <c r="G144" s="451"/>
      <c r="H144" s="451"/>
      <c r="L144" s="759"/>
      <c r="M144" s="759"/>
      <c r="N144" s="968">
        <f>C144*3</f>
        <v>42099</v>
      </c>
      <c r="O144" s="759"/>
    </row>
    <row r="145" spans="1:15" ht="15" customHeight="1" x14ac:dyDescent="0.25">
      <c r="A145" s="339"/>
      <c r="B145" s="389" t="s">
        <v>249</v>
      </c>
      <c r="C145" s="391"/>
      <c r="D145" s="391"/>
      <c r="E145" s="392">
        <f>SUM(E136:E144)</f>
        <v>1184356.6499999999</v>
      </c>
      <c r="F145" s="392">
        <f>SUM(F136:F144)</f>
        <v>1260777</v>
      </c>
      <c r="G145" s="392">
        <f>SUM(G136:G144)</f>
        <v>1218678</v>
      </c>
      <c r="H145" s="392">
        <f>SUM(H136:H144)</f>
        <v>1218678</v>
      </c>
      <c r="L145" s="555">
        <f>SUM(L136:L144)</f>
        <v>304669.5</v>
      </c>
      <c r="M145" s="555">
        <f t="shared" ref="M145:O145" si="9">SUM(M136:M143)</f>
        <v>304669.5</v>
      </c>
      <c r="N145" s="555">
        <f t="shared" si="9"/>
        <v>304669.5</v>
      </c>
      <c r="O145" s="555">
        <f t="shared" si="9"/>
        <v>304669.5</v>
      </c>
    </row>
    <row r="146" spans="1:15" ht="15" customHeight="1" x14ac:dyDescent="0.25">
      <c r="A146" s="339"/>
      <c r="B146" s="393"/>
      <c r="C146" s="394"/>
      <c r="D146" s="394"/>
      <c r="E146" s="395"/>
      <c r="F146" s="341"/>
    </row>
    <row r="147" spans="1:15" ht="15" customHeight="1" x14ac:dyDescent="0.25">
      <c r="A147" s="339"/>
      <c r="B147" s="393"/>
      <c r="C147" s="279">
        <v>2012</v>
      </c>
      <c r="D147" s="414">
        <f>ROUND(84879/1000,1)</f>
        <v>84.9</v>
      </c>
      <c r="E147" s="395"/>
      <c r="F147" s="341"/>
    </row>
    <row r="148" spans="1:15" ht="15" customHeight="1" x14ac:dyDescent="0.25">
      <c r="A148" s="339"/>
      <c r="B148" s="393"/>
      <c r="C148" s="279">
        <v>2013</v>
      </c>
      <c r="D148" s="414">
        <f>ROUND(131739/1000,1)</f>
        <v>131.69999999999999</v>
      </c>
      <c r="E148" s="395"/>
      <c r="F148" s="341"/>
    </row>
    <row r="149" spans="1:15" ht="15" customHeight="1" x14ac:dyDescent="0.25">
      <c r="A149" s="339"/>
      <c r="B149" s="393"/>
      <c r="C149" s="279">
        <v>2014</v>
      </c>
      <c r="D149" s="414">
        <f>ROUND(228447/1000,1)</f>
        <v>228.4</v>
      </c>
      <c r="E149" s="395"/>
      <c r="F149" s="341"/>
    </row>
    <row r="150" spans="1:15" ht="15" customHeight="1" x14ac:dyDescent="0.25">
      <c r="A150" s="339"/>
      <c r="B150" s="393"/>
      <c r="C150" s="279">
        <v>2015</v>
      </c>
      <c r="D150" s="414">
        <f>ROUND(531738/1000,1)</f>
        <v>531.70000000000005</v>
      </c>
      <c r="E150" s="395"/>
      <c r="F150" s="341"/>
    </row>
    <row r="151" spans="1:15" ht="15" customHeight="1" x14ac:dyDescent="0.25">
      <c r="A151" s="339"/>
      <c r="B151" s="393"/>
      <c r="C151" s="279">
        <v>2016</v>
      </c>
      <c r="D151" s="414">
        <f>ROUND(399518/1000,1)</f>
        <v>399.5</v>
      </c>
      <c r="E151" s="395"/>
      <c r="F151" s="341"/>
    </row>
    <row r="152" spans="1:15" ht="15" customHeight="1" x14ac:dyDescent="0.25">
      <c r="A152" s="339"/>
      <c r="B152" s="393"/>
      <c r="C152" s="279">
        <v>2017</v>
      </c>
      <c r="D152" s="459">
        <f>ROUND(640724/1000,1)</f>
        <v>640.70000000000005</v>
      </c>
      <c r="E152" s="395"/>
      <c r="F152" s="341"/>
    </row>
    <row r="153" spans="1:15" ht="15" customHeight="1" x14ac:dyDescent="0.25">
      <c r="A153" s="339"/>
      <c r="B153" s="393"/>
      <c r="C153" s="279">
        <v>2018</v>
      </c>
      <c r="D153" s="459">
        <f>ROUND(1070232.31/1000,1)</f>
        <v>1070.2</v>
      </c>
      <c r="E153" s="395"/>
      <c r="F153" s="341"/>
    </row>
    <row r="154" spans="1:15" ht="15" customHeight="1" x14ac:dyDescent="0.25">
      <c r="A154" s="339"/>
      <c r="B154" s="393"/>
      <c r="C154" s="279">
        <v>2019</v>
      </c>
      <c r="D154" s="459">
        <f>ROUND(E145/1000,1)</f>
        <v>1184.4000000000001</v>
      </c>
      <c r="E154" s="395"/>
      <c r="F154" s="341"/>
    </row>
    <row r="155" spans="1:15" ht="15" customHeight="1" x14ac:dyDescent="0.25">
      <c r="A155" s="339"/>
      <c r="B155" s="393"/>
      <c r="C155" s="279">
        <v>2020</v>
      </c>
      <c r="D155" s="459">
        <f>ROUND(F145/1000,1)</f>
        <v>1260.8</v>
      </c>
      <c r="E155" s="395"/>
      <c r="F155" s="341"/>
    </row>
    <row r="156" spans="1:15" ht="15" customHeight="1" x14ac:dyDescent="0.25">
      <c r="A156" s="339"/>
      <c r="B156" s="393"/>
      <c r="C156" s="394"/>
      <c r="D156" s="394"/>
      <c r="E156" s="395"/>
      <c r="F156" s="341"/>
    </row>
    <row r="157" spans="1:15" ht="15" customHeight="1" x14ac:dyDescent="0.25">
      <c r="A157" s="339"/>
      <c r="B157" s="393"/>
      <c r="C157" s="394"/>
      <c r="D157" s="394"/>
      <c r="E157" s="395"/>
      <c r="F157" s="341"/>
    </row>
    <row r="158" spans="1:15" ht="15" customHeight="1" x14ac:dyDescent="0.25">
      <c r="A158" s="339"/>
      <c r="B158" s="393"/>
      <c r="C158" s="394"/>
      <c r="D158" s="394"/>
      <c r="E158" s="395"/>
      <c r="F158" s="341"/>
    </row>
    <row r="159" spans="1:15" ht="15" customHeight="1" x14ac:dyDescent="0.25">
      <c r="A159" s="339"/>
      <c r="B159" s="393"/>
      <c r="C159" s="394"/>
      <c r="D159" s="394"/>
      <c r="E159" s="395"/>
      <c r="F159" s="341"/>
    </row>
    <row r="160" spans="1:15" ht="15" customHeight="1" x14ac:dyDescent="0.25">
      <c r="A160" s="1094" t="s">
        <v>309</v>
      </c>
      <c r="B160" s="1094"/>
      <c r="C160" s="1094"/>
      <c r="D160" s="1094"/>
      <c r="E160" s="1094"/>
      <c r="F160" s="1094"/>
    </row>
    <row r="162" spans="1:12" ht="69.75" customHeight="1" x14ac:dyDescent="0.25">
      <c r="A162" s="184" t="s">
        <v>3</v>
      </c>
      <c r="B162" s="170" t="s">
        <v>4</v>
      </c>
      <c r="C162" s="342" t="str">
        <f>C7</f>
        <v>Фактически поступило (по состоянию на 01.10.2019), рублей</v>
      </c>
      <c r="D162" s="342" t="str">
        <f>D7</f>
        <v>Ожидаемая оценка поступлений в 2019 году, рублей</v>
      </c>
      <c r="E162" s="342" t="str">
        <f>E7</f>
        <v>Проект бюджета на 2020 год, рублей</v>
      </c>
      <c r="F162" s="342" t="str">
        <f>F7</f>
        <v>Проект бюджета на 2020 год, тыс. рублей</v>
      </c>
    </row>
    <row r="163" spans="1:12" ht="116.25" customHeight="1" x14ac:dyDescent="0.25">
      <c r="A163" s="349" t="s">
        <v>54</v>
      </c>
      <c r="B163" s="382" t="s">
        <v>310</v>
      </c>
      <c r="C163" s="396">
        <f>D171</f>
        <v>260189.43</v>
      </c>
      <c r="D163" s="383">
        <f>D172</f>
        <v>346919.24</v>
      </c>
      <c r="E163" s="345">
        <f>D173</f>
        <v>523555</v>
      </c>
      <c r="F163" s="357">
        <f>ROUND(E163/1000,1)</f>
        <v>523.6</v>
      </c>
    </row>
    <row r="164" spans="1:12" ht="12" customHeight="1" x14ac:dyDescent="0.25">
      <c r="A164" s="339"/>
      <c r="B164" s="385"/>
      <c r="C164" s="397"/>
      <c r="D164" s="398"/>
      <c r="E164" s="399"/>
      <c r="L164" s="179"/>
    </row>
    <row r="165" spans="1:12" ht="15" customHeight="1" x14ac:dyDescent="0.25">
      <c r="A165" s="339"/>
      <c r="B165" s="1121" t="s">
        <v>311</v>
      </c>
      <c r="C165" s="1121"/>
      <c r="D165" s="1121"/>
      <c r="E165" s="395"/>
      <c r="F165" s="341"/>
    </row>
    <row r="166" spans="1:12" x14ac:dyDescent="0.25">
      <c r="A166" s="339"/>
      <c r="B166" s="321" t="s">
        <v>233</v>
      </c>
      <c r="C166" s="321" t="s">
        <v>234</v>
      </c>
      <c r="D166" s="322" t="s">
        <v>312</v>
      </c>
      <c r="E166" s="395"/>
      <c r="F166" s="279">
        <v>2012</v>
      </c>
      <c r="G166" s="459">
        <f>ROUND(461303.89/1000,1)</f>
        <v>461.3</v>
      </c>
    </row>
    <row r="167" spans="1:12" ht="15" customHeight="1" x14ac:dyDescent="0.25">
      <c r="A167" s="339"/>
      <c r="B167" s="1087" t="s">
        <v>238</v>
      </c>
      <c r="C167" s="321">
        <v>2015</v>
      </c>
      <c r="D167" s="371">
        <v>435409.65</v>
      </c>
      <c r="E167" s="395"/>
      <c r="F167" s="279">
        <v>2013</v>
      </c>
      <c r="G167" s="459">
        <f>ROUND(602239.48/1000,1)</f>
        <v>602.20000000000005</v>
      </c>
    </row>
    <row r="168" spans="1:12" ht="15" customHeight="1" x14ac:dyDescent="0.25">
      <c r="A168" s="339"/>
      <c r="B168" s="1088"/>
      <c r="C168" s="321">
        <v>2016</v>
      </c>
      <c r="D168" s="373">
        <v>560339.1</v>
      </c>
      <c r="E168" s="400"/>
      <c r="F168" s="279">
        <v>2014</v>
      </c>
      <c r="G168" s="459">
        <f>ROUND(553922.42/1000,1)</f>
        <v>553.9</v>
      </c>
    </row>
    <row r="169" spans="1:12" ht="15" customHeight="1" x14ac:dyDescent="0.25">
      <c r="A169" s="339"/>
      <c r="B169" s="1088"/>
      <c r="C169" s="321">
        <v>2017</v>
      </c>
      <c r="D169" s="373">
        <v>643499.52000000002</v>
      </c>
      <c r="E169" s="395"/>
      <c r="F169" s="279">
        <v>2015</v>
      </c>
      <c r="G169" s="459">
        <f>ROUND(435409.65/1000,1)</f>
        <v>435.4</v>
      </c>
    </row>
    <row r="170" spans="1:12" ht="15" customHeight="1" x14ac:dyDescent="0.25">
      <c r="A170" s="339"/>
      <c r="B170" s="1089"/>
      <c r="C170" s="644">
        <v>2018</v>
      </c>
      <c r="D170" s="373">
        <v>580245.5</v>
      </c>
      <c r="E170" s="395"/>
      <c r="F170" s="279">
        <v>2016</v>
      </c>
      <c r="G170" s="459">
        <f>ROUND(560339.1/1000,1)</f>
        <v>560.29999999999995</v>
      </c>
    </row>
    <row r="171" spans="1:12" ht="15" customHeight="1" x14ac:dyDescent="0.25">
      <c r="A171" s="339"/>
      <c r="B171" s="322" t="str">
        <f>B15</f>
        <v>Фактически исполнено за 9 месяцев</v>
      </c>
      <c r="C171" s="1106">
        <v>2019</v>
      </c>
      <c r="D171" s="396">
        <v>260189.43</v>
      </c>
      <c r="E171" s="395"/>
      <c r="F171" s="279">
        <v>2017</v>
      </c>
      <c r="G171" s="459">
        <f>ROUND(643499.52/1000,1)</f>
        <v>643.5</v>
      </c>
    </row>
    <row r="172" spans="1:12" ht="15" customHeight="1" x14ac:dyDescent="0.25">
      <c r="A172" s="339"/>
      <c r="B172" s="322" t="s">
        <v>239</v>
      </c>
      <c r="C172" s="1106"/>
      <c r="D172" s="371">
        <f>ROUND(D171/9*12,2)</f>
        <v>346919.24</v>
      </c>
      <c r="E172" s="395"/>
      <c r="F172" s="279">
        <v>2018</v>
      </c>
      <c r="G172" s="459">
        <f>ROUND(580245.5/1000,1)</f>
        <v>580.20000000000005</v>
      </c>
    </row>
    <row r="173" spans="1:12" ht="15" customHeight="1" x14ac:dyDescent="0.25">
      <c r="A173" s="339"/>
      <c r="B173" s="1095" t="s">
        <v>240</v>
      </c>
      <c r="C173" s="1097">
        <v>2020</v>
      </c>
      <c r="D173" s="333">
        <f>ROUND((D169+D170+D172)/3,0)</f>
        <v>523555</v>
      </c>
      <c r="E173" s="395"/>
      <c r="F173" s="279">
        <v>2019</v>
      </c>
      <c r="G173" s="459">
        <f>ROUND(D172/1000,1)</f>
        <v>346.9</v>
      </c>
    </row>
    <row r="174" spans="1:12" x14ac:dyDescent="0.25">
      <c r="A174" s="339"/>
      <c r="B174" s="1095"/>
      <c r="C174" s="1097"/>
      <c r="D174" s="377" t="s">
        <v>294</v>
      </c>
      <c r="E174" s="395"/>
      <c r="F174" s="279">
        <v>2020</v>
      </c>
      <c r="G174" s="459">
        <f>ROUND(D173/1000,1)</f>
        <v>523.6</v>
      </c>
    </row>
    <row r="175" spans="1:12" ht="12.75" customHeight="1" x14ac:dyDescent="0.25">
      <c r="A175" s="339"/>
      <c r="B175" s="335"/>
      <c r="C175" s="336"/>
      <c r="D175" s="320"/>
      <c r="E175" s="395"/>
      <c r="F175" s="341"/>
    </row>
    <row r="176" spans="1:12" ht="12.75" customHeight="1" x14ac:dyDescent="0.25">
      <c r="A176" s="339"/>
      <c r="B176" s="335"/>
      <c r="E176" s="395"/>
      <c r="F176" s="341"/>
    </row>
    <row r="177" spans="1:15" ht="12.75" customHeight="1" x14ac:dyDescent="0.25">
      <c r="A177" s="339"/>
      <c r="B177" s="335"/>
      <c r="E177" s="395"/>
      <c r="F177" s="341"/>
    </row>
    <row r="178" spans="1:15" ht="12.75" customHeight="1" x14ac:dyDescent="0.25">
      <c r="A178" s="339"/>
      <c r="B178" s="335"/>
      <c r="E178" s="395"/>
      <c r="F178" s="341"/>
    </row>
    <row r="179" spans="1:15" ht="12.75" customHeight="1" x14ac:dyDescent="0.25">
      <c r="A179" s="339"/>
      <c r="B179" s="335"/>
      <c r="E179" s="395"/>
      <c r="F179" s="341"/>
    </row>
    <row r="180" spans="1:15" ht="12.75" customHeight="1" x14ac:dyDescent="0.25">
      <c r="A180" s="339"/>
      <c r="B180" s="335"/>
      <c r="C180" s="336"/>
      <c r="D180" s="445"/>
      <c r="E180" s="395"/>
      <c r="F180" s="341"/>
    </row>
    <row r="181" spans="1:15" ht="14.45" customHeight="1" x14ac:dyDescent="0.25">
      <c r="A181" s="1119" t="s">
        <v>313</v>
      </c>
      <c r="B181" s="1119"/>
      <c r="C181" s="1119"/>
      <c r="D181" s="1119"/>
      <c r="E181" s="1119"/>
      <c r="F181" s="1119"/>
    </row>
    <row r="182" spans="1:15" ht="12.75" customHeight="1" x14ac:dyDescent="0.25">
      <c r="A182" s="339"/>
      <c r="B182" s="385"/>
      <c r="C182" s="401"/>
      <c r="D182" s="401"/>
      <c r="E182" s="401"/>
      <c r="F182" s="401"/>
      <c r="L182" s="179"/>
      <c r="M182" s="179"/>
    </row>
    <row r="183" spans="1:15" ht="70.5" customHeight="1" x14ac:dyDescent="0.25">
      <c r="A183" s="184" t="s">
        <v>3</v>
      </c>
      <c r="B183" s="170" t="s">
        <v>4</v>
      </c>
      <c r="C183" s="342" t="str">
        <f>C130</f>
        <v>Фактически поступило (по состоянию на 01.10.2019), рублей</v>
      </c>
      <c r="D183" s="342" t="str">
        <f>D7</f>
        <v>Ожидаемая оценка поступлений в 2019 году, рублей</v>
      </c>
      <c r="E183" s="342" t="str">
        <f>E7</f>
        <v>Проект бюджета на 2020 год, рублей</v>
      </c>
      <c r="F183" s="342" t="str">
        <f>F7</f>
        <v>Проект бюджета на 2020 год, тыс. рублей</v>
      </c>
      <c r="L183" s="179"/>
      <c r="M183" s="179"/>
    </row>
    <row r="184" spans="1:15" ht="124.9" customHeight="1" x14ac:dyDescent="0.25">
      <c r="A184" s="192" t="s">
        <v>62</v>
      </c>
      <c r="B184" s="382" t="s">
        <v>314</v>
      </c>
      <c r="C184" s="383">
        <v>410</v>
      </c>
      <c r="D184" s="383">
        <f>F196</f>
        <v>1300</v>
      </c>
      <c r="E184" s="384">
        <f>F198</f>
        <v>1040</v>
      </c>
      <c r="F184" s="357">
        <f>ROUND(E184/1000,1)</f>
        <v>1</v>
      </c>
      <c r="I184" s="447"/>
      <c r="L184" s="402"/>
      <c r="M184" s="1103"/>
      <c r="N184" s="1103"/>
      <c r="O184" s="1103"/>
    </row>
    <row r="185" spans="1:15" ht="13.5" customHeight="1" x14ac:dyDescent="0.25">
      <c r="A185" s="339"/>
      <c r="B185" s="385"/>
      <c r="C185" s="401"/>
      <c r="D185" s="401"/>
      <c r="E185" s="401"/>
      <c r="F185" s="401"/>
    </row>
    <row r="186" spans="1:15" ht="15.75" x14ac:dyDescent="0.25">
      <c r="A186" s="1120" t="s">
        <v>315</v>
      </c>
      <c r="B186" s="1120"/>
      <c r="C186" s="1120"/>
      <c r="D186" s="1120"/>
      <c r="E186" s="1120"/>
      <c r="F186" s="1120"/>
    </row>
    <row r="187" spans="1:15" ht="42.75" customHeight="1" x14ac:dyDescent="0.25">
      <c r="A187" s="321" t="s">
        <v>234</v>
      </c>
      <c r="B187" s="321" t="s">
        <v>233</v>
      </c>
      <c r="C187" s="348" t="s">
        <v>316</v>
      </c>
      <c r="D187" s="348" t="s">
        <v>317</v>
      </c>
      <c r="E187" s="348" t="s">
        <v>318</v>
      </c>
      <c r="F187" s="348" t="s">
        <v>319</v>
      </c>
    </row>
    <row r="188" spans="1:15" x14ac:dyDescent="0.25">
      <c r="A188" s="1084">
        <v>2016</v>
      </c>
      <c r="B188" s="1087" t="s">
        <v>238</v>
      </c>
      <c r="C188" s="403">
        <v>260</v>
      </c>
      <c r="D188" s="404">
        <v>35</v>
      </c>
      <c r="E188" s="403">
        <f t="shared" ref="E188:E193" si="10">C188*D188</f>
        <v>9100</v>
      </c>
      <c r="F188" s="1082">
        <f>E188+E189</f>
        <v>9400</v>
      </c>
      <c r="K188" s="290"/>
      <c r="L188" s="290"/>
      <c r="M188" s="290"/>
    </row>
    <row r="189" spans="1:15" x14ac:dyDescent="0.25">
      <c r="A189" s="1085"/>
      <c r="B189" s="1088"/>
      <c r="C189" s="403">
        <v>150</v>
      </c>
      <c r="D189" s="404">
        <v>2</v>
      </c>
      <c r="E189" s="403">
        <f t="shared" si="10"/>
        <v>300</v>
      </c>
      <c r="F189" s="1083"/>
      <c r="K189" s="290"/>
      <c r="L189" s="290"/>
      <c r="M189" s="290"/>
    </row>
    <row r="190" spans="1:15" x14ac:dyDescent="0.25">
      <c r="A190" s="1084">
        <v>2017</v>
      </c>
      <c r="B190" s="1088"/>
      <c r="C190" s="403">
        <v>260</v>
      </c>
      <c r="D190" s="404">
        <v>5</v>
      </c>
      <c r="E190" s="403">
        <f t="shared" si="10"/>
        <v>1300</v>
      </c>
      <c r="F190" s="1082">
        <f>E190+E191</f>
        <v>1300</v>
      </c>
      <c r="K190" s="290"/>
      <c r="L190" s="290"/>
      <c r="M190" s="290"/>
    </row>
    <row r="191" spans="1:15" x14ac:dyDescent="0.25">
      <c r="A191" s="1085"/>
      <c r="B191" s="1088"/>
      <c r="C191" s="403">
        <v>150</v>
      </c>
      <c r="D191" s="404">
        <v>0</v>
      </c>
      <c r="E191" s="403">
        <f t="shared" si="10"/>
        <v>0</v>
      </c>
      <c r="F191" s="1083"/>
      <c r="K191" s="290"/>
      <c r="L191" s="290"/>
      <c r="M191" s="290"/>
    </row>
    <row r="192" spans="1:15" x14ac:dyDescent="0.25">
      <c r="A192" s="1084">
        <v>2018</v>
      </c>
      <c r="B192" s="1088"/>
      <c r="C192" s="403">
        <v>260</v>
      </c>
      <c r="D192" s="404">
        <v>5</v>
      </c>
      <c r="E192" s="403">
        <f t="shared" si="10"/>
        <v>1300</v>
      </c>
      <c r="F192" s="1082">
        <f>E192+E193</f>
        <v>1450</v>
      </c>
      <c r="K192" s="290"/>
      <c r="L192" s="290"/>
      <c r="M192" s="290"/>
    </row>
    <row r="193" spans="1:13" x14ac:dyDescent="0.25">
      <c r="A193" s="1085"/>
      <c r="B193" s="1089"/>
      <c r="C193" s="403">
        <v>150</v>
      </c>
      <c r="D193" s="404">
        <v>1</v>
      </c>
      <c r="E193" s="403">
        <f t="shared" si="10"/>
        <v>150</v>
      </c>
      <c r="F193" s="1083"/>
      <c r="K193" s="290"/>
      <c r="L193" s="290"/>
      <c r="M193" s="290"/>
    </row>
    <row r="194" spans="1:13" ht="18.75" customHeight="1" x14ac:dyDescent="0.25">
      <c r="A194" s="1084">
        <v>2019</v>
      </c>
      <c r="B194" s="1095" t="str">
        <f>B15</f>
        <v>Фактически исполнено за 9 месяцев</v>
      </c>
      <c r="C194" s="403">
        <v>260</v>
      </c>
      <c r="D194" s="405">
        <v>2</v>
      </c>
      <c r="E194" s="403">
        <f t="shared" ref="E194:E199" si="11">C194*D194</f>
        <v>520</v>
      </c>
      <c r="F194" s="1082">
        <f>E194+E195</f>
        <v>520</v>
      </c>
      <c r="K194" s="290"/>
      <c r="L194" s="290"/>
      <c r="M194" s="375"/>
    </row>
    <row r="195" spans="1:13" ht="18.75" customHeight="1" x14ac:dyDescent="0.25">
      <c r="A195" s="1096"/>
      <c r="B195" s="1095"/>
      <c r="C195" s="403">
        <v>150</v>
      </c>
      <c r="D195" s="405">
        <v>0</v>
      </c>
      <c r="E195" s="403">
        <f t="shared" si="11"/>
        <v>0</v>
      </c>
      <c r="F195" s="1083"/>
      <c r="K195" s="290"/>
      <c r="L195" s="185"/>
      <c r="M195" s="290"/>
    </row>
    <row r="196" spans="1:13" ht="18.75" customHeight="1" x14ac:dyDescent="0.25">
      <c r="A196" s="1096"/>
      <c r="B196" s="1087" t="s">
        <v>239</v>
      </c>
      <c r="C196" s="403">
        <v>260</v>
      </c>
      <c r="D196" s="404">
        <v>5</v>
      </c>
      <c r="E196" s="403">
        <f>C196*D196</f>
        <v>1300</v>
      </c>
      <c r="F196" s="1082">
        <f>E196+E197</f>
        <v>1300</v>
      </c>
      <c r="H196" s="290"/>
      <c r="K196" s="290"/>
      <c r="L196" s="290"/>
      <c r="M196" s="290"/>
    </row>
    <row r="197" spans="1:13" ht="18.75" customHeight="1" x14ac:dyDescent="0.25">
      <c r="A197" s="1085"/>
      <c r="B197" s="1089"/>
      <c r="C197" s="403">
        <v>150</v>
      </c>
      <c r="D197" s="404">
        <v>0</v>
      </c>
      <c r="E197" s="403">
        <f t="shared" si="11"/>
        <v>0</v>
      </c>
      <c r="F197" s="1083"/>
      <c r="H197" s="290"/>
      <c r="K197" s="290"/>
      <c r="L197" s="290"/>
      <c r="M197" s="290"/>
    </row>
    <row r="198" spans="1:13" x14ac:dyDescent="0.25">
      <c r="A198" s="1097">
        <v>2020</v>
      </c>
      <c r="B198" s="1095" t="s">
        <v>240</v>
      </c>
      <c r="C198" s="403">
        <v>260</v>
      </c>
      <c r="D198" s="405">
        <v>4</v>
      </c>
      <c r="E198" s="403">
        <f t="shared" si="11"/>
        <v>1040</v>
      </c>
      <c r="F198" s="1098">
        <f>E198+E199</f>
        <v>1040</v>
      </c>
      <c r="H198" s="290"/>
      <c r="K198" s="290"/>
      <c r="L198" s="290"/>
      <c r="M198" s="290"/>
    </row>
    <row r="199" spans="1:13" x14ac:dyDescent="0.25">
      <c r="A199" s="1097"/>
      <c r="B199" s="1095"/>
      <c r="C199" s="403">
        <v>150</v>
      </c>
      <c r="D199" s="405">
        <v>0</v>
      </c>
      <c r="E199" s="403">
        <f t="shared" si="11"/>
        <v>0</v>
      </c>
      <c r="F199" s="1099"/>
    </row>
    <row r="200" spans="1:13" ht="30.75" customHeight="1" x14ac:dyDescent="0.25">
      <c r="A200" s="1097"/>
      <c r="B200" s="1095"/>
      <c r="C200" s="1078" t="s">
        <v>725</v>
      </c>
      <c r="D200" s="1079"/>
      <c r="E200" s="1080"/>
      <c r="F200" s="192" t="s">
        <v>290</v>
      </c>
    </row>
    <row r="201" spans="1:13" x14ac:dyDescent="0.25">
      <c r="A201" s="320"/>
      <c r="B201" s="320"/>
      <c r="C201" s="320"/>
      <c r="D201" s="320"/>
      <c r="E201" s="320"/>
      <c r="F201" s="320"/>
    </row>
    <row r="202" spans="1:13" ht="15.75" x14ac:dyDescent="0.25">
      <c r="A202" s="1120" t="s">
        <v>320</v>
      </c>
      <c r="B202" s="1120"/>
      <c r="C202" s="1120"/>
      <c r="D202" s="1120"/>
      <c r="E202" s="1120"/>
      <c r="F202" s="1120"/>
    </row>
    <row r="203" spans="1:13" ht="65.25" customHeight="1" x14ac:dyDescent="0.25">
      <c r="A203" s="1101" t="s">
        <v>97</v>
      </c>
      <c r="B203" s="1101"/>
      <c r="C203" s="348" t="s">
        <v>316</v>
      </c>
      <c r="D203" s="348" t="s">
        <v>723</v>
      </c>
      <c r="E203" s="348" t="s">
        <v>724</v>
      </c>
      <c r="F203" s="401"/>
      <c r="J203" s="298"/>
      <c r="K203" s="290"/>
      <c r="L203" s="376"/>
    </row>
    <row r="204" spans="1:13" hidden="1" x14ac:dyDescent="0.25">
      <c r="A204" s="461"/>
      <c r="B204" s="406" t="s">
        <v>321</v>
      </c>
      <c r="C204" s="288"/>
      <c r="D204" s="407">
        <v>1828.1</v>
      </c>
      <c r="E204" s="407">
        <v>1828.1</v>
      </c>
      <c r="K204" s="290"/>
      <c r="L204" s="290"/>
    </row>
    <row r="205" spans="1:13" x14ac:dyDescent="0.25">
      <c r="A205" s="1102" t="s">
        <v>322</v>
      </c>
      <c r="B205" s="1102"/>
      <c r="C205" s="409">
        <v>260</v>
      </c>
      <c r="D205" s="410">
        <f>499-5</f>
        <v>494</v>
      </c>
      <c r="E205" s="411">
        <f>D205-D196</f>
        <v>489</v>
      </c>
      <c r="K205" s="290"/>
      <c r="L205" s="290"/>
    </row>
    <row r="206" spans="1:13" ht="28.5" customHeight="1" x14ac:dyDescent="0.25">
      <c r="A206" s="1117" t="s">
        <v>323</v>
      </c>
      <c r="B206" s="1118"/>
      <c r="C206" s="409">
        <v>150</v>
      </c>
      <c r="D206" s="410">
        <v>0</v>
      </c>
      <c r="E206" s="411">
        <f>D206</f>
        <v>0</v>
      </c>
      <c r="G206" s="298"/>
      <c r="K206" s="412"/>
      <c r="L206" s="413"/>
    </row>
    <row r="207" spans="1:13" x14ac:dyDescent="0.25">
      <c r="A207" s="408"/>
      <c r="C207" s="414"/>
      <c r="I207" s="298"/>
      <c r="K207" s="412"/>
      <c r="L207" s="413"/>
    </row>
    <row r="208" spans="1:13" x14ac:dyDescent="0.25">
      <c r="A208" s="408"/>
      <c r="C208" s="279">
        <v>2015</v>
      </c>
      <c r="D208" s="354">
        <f>ROUND(2.75,1)</f>
        <v>2.8</v>
      </c>
      <c r="I208" s="298"/>
      <c r="K208" s="412"/>
      <c r="L208" s="413"/>
    </row>
    <row r="209" spans="1:12" x14ac:dyDescent="0.25">
      <c r="A209" s="408"/>
      <c r="C209" s="279">
        <v>2016</v>
      </c>
      <c r="D209" s="354">
        <f>ROUND(9.4,1)</f>
        <v>9.4</v>
      </c>
      <c r="I209" s="298"/>
      <c r="K209" s="412"/>
      <c r="L209" s="413"/>
    </row>
    <row r="210" spans="1:12" x14ac:dyDescent="0.25">
      <c r="A210" s="408"/>
      <c r="C210" s="279">
        <v>2017</v>
      </c>
      <c r="D210" s="354">
        <f>ROUND(1.3,1)</f>
        <v>1.3</v>
      </c>
      <c r="I210" s="298"/>
      <c r="K210" s="412"/>
      <c r="L210" s="413"/>
    </row>
    <row r="211" spans="1:12" x14ac:dyDescent="0.25">
      <c r="A211" s="408"/>
      <c r="C211" s="279">
        <v>2018</v>
      </c>
      <c r="D211" s="354">
        <f>ROUND(1450/1000,1)</f>
        <v>1.5</v>
      </c>
      <c r="I211" s="298"/>
      <c r="K211" s="412"/>
      <c r="L211" s="413"/>
    </row>
    <row r="212" spans="1:12" x14ac:dyDescent="0.25">
      <c r="A212" s="408"/>
      <c r="C212" s="279">
        <v>2019</v>
      </c>
      <c r="D212" s="354">
        <f>ROUND(F196/1000,1)</f>
        <v>1.3</v>
      </c>
      <c r="I212" s="298"/>
      <c r="K212" s="412"/>
      <c r="L212" s="413"/>
    </row>
    <row r="213" spans="1:12" x14ac:dyDescent="0.25">
      <c r="A213" s="408"/>
      <c r="C213" s="279">
        <v>2020</v>
      </c>
      <c r="D213" s="354">
        <f>ROUND(F198/1000,1)</f>
        <v>1</v>
      </c>
      <c r="I213" s="298"/>
      <c r="K213" s="412"/>
      <c r="L213" s="413"/>
    </row>
    <row r="214" spans="1:12" x14ac:dyDescent="0.25">
      <c r="A214" s="408"/>
      <c r="C214" s="414"/>
      <c r="I214" s="298"/>
      <c r="K214" s="412"/>
      <c r="L214" s="413"/>
    </row>
    <row r="215" spans="1:12" x14ac:dyDescent="0.25">
      <c r="A215" s="408"/>
      <c r="C215" s="414"/>
      <c r="I215" s="298"/>
      <c r="K215" s="412"/>
      <c r="L215" s="413"/>
    </row>
    <row r="216" spans="1:12" x14ac:dyDescent="0.25">
      <c r="A216" s="408"/>
      <c r="C216" s="414"/>
      <c r="I216" s="298"/>
      <c r="K216" s="412"/>
      <c r="L216" s="413"/>
    </row>
    <row r="217" spans="1:12" x14ac:dyDescent="0.25">
      <c r="A217" s="408"/>
      <c r="C217" s="414"/>
      <c r="I217" s="298"/>
      <c r="K217" s="412"/>
      <c r="L217" s="413"/>
    </row>
    <row r="218" spans="1:12" x14ac:dyDescent="0.25">
      <c r="A218" s="408"/>
      <c r="C218" s="414"/>
      <c r="I218" s="298"/>
      <c r="K218" s="412"/>
      <c r="L218" s="413"/>
    </row>
    <row r="219" spans="1:12" x14ac:dyDescent="0.25">
      <c r="A219" s="408"/>
      <c r="C219" s="414"/>
      <c r="I219" s="298"/>
      <c r="K219" s="412"/>
      <c r="L219" s="413"/>
    </row>
    <row r="220" spans="1:12" x14ac:dyDescent="0.25">
      <c r="A220" s="408"/>
      <c r="C220" s="414"/>
      <c r="I220" s="298"/>
      <c r="K220" s="412"/>
      <c r="L220" s="413"/>
    </row>
    <row r="221" spans="1:12" x14ac:dyDescent="0.25">
      <c r="A221" s="408"/>
      <c r="C221" s="414"/>
      <c r="I221" s="298"/>
      <c r="K221" s="412"/>
      <c r="L221" s="413"/>
    </row>
    <row r="222" spans="1:12" ht="28.5" customHeight="1" x14ac:dyDescent="0.25">
      <c r="A222" s="1091" t="s">
        <v>324</v>
      </c>
      <c r="B222" s="1091"/>
      <c r="D222" s="157" t="s">
        <v>325</v>
      </c>
      <c r="H222" s="298"/>
      <c r="L222" s="179"/>
    </row>
    <row r="223" spans="1:12" x14ac:dyDescent="0.25">
      <c r="A223" s="415"/>
      <c r="B223" s="415"/>
      <c r="F223" s="416"/>
    </row>
    <row r="224" spans="1:12" ht="17.25" x14ac:dyDescent="0.3">
      <c r="A224" s="417"/>
      <c r="B224" s="298"/>
      <c r="C224" s="298"/>
    </row>
    <row r="225" spans="1:9" x14ac:dyDescent="0.25">
      <c r="A225" s="418"/>
      <c r="I225" s="298"/>
    </row>
    <row r="226" spans="1:9" x14ac:dyDescent="0.25">
      <c r="A226" s="408"/>
      <c r="I226" s="298"/>
    </row>
    <row r="227" spans="1:9" x14ac:dyDescent="0.25">
      <c r="A227" s="408"/>
    </row>
    <row r="228" spans="1:9" x14ac:dyDescent="0.25">
      <c r="A228" s="408"/>
    </row>
    <row r="229" spans="1:9" x14ac:dyDescent="0.25">
      <c r="A229" s="408"/>
    </row>
    <row r="230" spans="1:9" x14ac:dyDescent="0.25">
      <c r="A230" s="408"/>
    </row>
    <row r="231" spans="1:9" x14ac:dyDescent="0.25">
      <c r="A231" s="408"/>
    </row>
    <row r="232" spans="1:9" x14ac:dyDescent="0.25">
      <c r="A232" s="408"/>
    </row>
    <row r="233" spans="1:9" x14ac:dyDescent="0.25">
      <c r="A233" s="408"/>
    </row>
    <row r="234" spans="1:9" x14ac:dyDescent="0.25">
      <c r="A234" s="408"/>
    </row>
    <row r="235" spans="1:9" x14ac:dyDescent="0.25">
      <c r="A235" s="408"/>
    </row>
    <row r="236" spans="1:9" x14ac:dyDescent="0.25">
      <c r="A236" s="408"/>
    </row>
    <row r="237" spans="1:9" x14ac:dyDescent="0.25">
      <c r="A237" s="408"/>
    </row>
    <row r="238" spans="1:9" x14ac:dyDescent="0.25">
      <c r="A238" s="408"/>
    </row>
    <row r="239" spans="1:9" x14ac:dyDescent="0.25">
      <c r="A239" s="408"/>
    </row>
    <row r="240" spans="1:9" x14ac:dyDescent="0.25">
      <c r="A240" s="408"/>
    </row>
  </sheetData>
  <mergeCells count="68">
    <mergeCell ref="A206:B206"/>
    <mergeCell ref="C134:E134"/>
    <mergeCell ref="A181:F181"/>
    <mergeCell ref="B173:B174"/>
    <mergeCell ref="C173:C174"/>
    <mergeCell ref="A202:F202"/>
    <mergeCell ref="B134:B135"/>
    <mergeCell ref="B165:D165"/>
    <mergeCell ref="C171:C172"/>
    <mergeCell ref="A186:F186"/>
    <mergeCell ref="A188:A189"/>
    <mergeCell ref="B10:F10"/>
    <mergeCell ref="C15:C16"/>
    <mergeCell ref="B17:B18"/>
    <mergeCell ref="C17:C18"/>
    <mergeCell ref="D18:E18"/>
    <mergeCell ref="B12:B14"/>
    <mergeCell ref="O2:O4"/>
    <mergeCell ref="A4:F4"/>
    <mergeCell ref="A1:F1"/>
    <mergeCell ref="A2:F2"/>
    <mergeCell ref="L2:L4"/>
    <mergeCell ref="M2:M4"/>
    <mergeCell ref="N2:N4"/>
    <mergeCell ref="M184:O184"/>
    <mergeCell ref="A56:F56"/>
    <mergeCell ref="A45:F45"/>
    <mergeCell ref="B101:D101"/>
    <mergeCell ref="C107:C108"/>
    <mergeCell ref="B109:B110"/>
    <mergeCell ref="C109:C110"/>
    <mergeCell ref="A58:F58"/>
    <mergeCell ref="L134:O134"/>
    <mergeCell ref="B103:B106"/>
    <mergeCell ref="B167:B170"/>
    <mergeCell ref="A74:G74"/>
    <mergeCell ref="B133:F133"/>
    <mergeCell ref="G134:H134"/>
    <mergeCell ref="A222:B222"/>
    <mergeCell ref="A69:F69"/>
    <mergeCell ref="A96:F96"/>
    <mergeCell ref="A128:F128"/>
    <mergeCell ref="A160:F160"/>
    <mergeCell ref="B194:B195"/>
    <mergeCell ref="A194:A197"/>
    <mergeCell ref="F194:F195"/>
    <mergeCell ref="B196:B197"/>
    <mergeCell ref="F196:F197"/>
    <mergeCell ref="B198:B200"/>
    <mergeCell ref="A198:A200"/>
    <mergeCell ref="F198:F199"/>
    <mergeCell ref="A93:B93"/>
    <mergeCell ref="A203:B203"/>
    <mergeCell ref="A205:B205"/>
    <mergeCell ref="H11:I12"/>
    <mergeCell ref="E63:F67"/>
    <mergeCell ref="E38:F39"/>
    <mergeCell ref="A36:F36"/>
    <mergeCell ref="C200:E200"/>
    <mergeCell ref="A126:F126"/>
    <mergeCell ref="F188:F189"/>
    <mergeCell ref="A190:A191"/>
    <mergeCell ref="F190:F191"/>
    <mergeCell ref="A53:B53"/>
    <mergeCell ref="B188:B193"/>
    <mergeCell ref="A192:A193"/>
    <mergeCell ref="F192:F193"/>
    <mergeCell ref="A47:F47"/>
  </mergeCells>
  <pageMargins left="0.51181102362204722" right="0.11811023622047245" top="0.74803149606299213" bottom="0.35433070866141736" header="0.31496062992125984" footer="0.31496062992125984"/>
  <pageSetup paperSize="9" scale="43" fitToHeight="0" orientation="portrait" r:id="rId1"/>
  <drawing r:id="rId2"/>
  <legacyDrawing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8"/>
  <sheetViews>
    <sheetView showZeros="0" topLeftCell="A40" workbookViewId="0">
      <selection activeCell="A47" sqref="A47:H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0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0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0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0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0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3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202</v>
      </c>
      <c r="B12" s="1201"/>
      <c r="C12" s="1201"/>
      <c r="D12" s="1201"/>
      <c r="E12" s="1201"/>
      <c r="F12" s="1201"/>
      <c r="G12" s="1201"/>
      <c r="H12" s="1201"/>
      <c r="I12" s="841"/>
    </row>
    <row r="13" spans="1:9" s="179" customFormat="1" ht="6" customHeight="1" x14ac:dyDescent="0.2">
      <c r="E13" s="842"/>
      <c r="F13" s="842"/>
      <c r="G13" s="842"/>
      <c r="H13" s="842"/>
      <c r="I13" s="841"/>
    </row>
    <row r="14" spans="1:9" s="179" customFormat="1" ht="12.75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841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94"/>
    </row>
    <row r="16" spans="1:9" x14ac:dyDescent="0.25">
      <c r="A16" s="564" t="s">
        <v>640</v>
      </c>
      <c r="B16" s="848" t="s">
        <v>172</v>
      </c>
      <c r="C16" s="848" t="s">
        <v>106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2885.4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428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 t="s">
        <v>172</v>
      </c>
      <c r="C24" s="846" t="s">
        <v>106</v>
      </c>
      <c r="D24" s="846" t="s">
        <v>206</v>
      </c>
      <c r="E24" s="846" t="s">
        <v>126</v>
      </c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  <c r="I34" s="84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5"/>
    </row>
    <row r="38" spans="1:9" x14ac:dyDescent="0.25">
      <c r="A38" s="567" t="s">
        <v>361</v>
      </c>
      <c r="B38" s="852"/>
      <c r="C38" s="852"/>
      <c r="D38" s="852"/>
      <c r="E38" s="428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91" t="s">
        <v>639</v>
      </c>
      <c r="B45" s="581"/>
      <c r="C45" s="581"/>
      <c r="D45" s="581"/>
      <c r="E45" s="581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  <c r="I46" s="841"/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 t="s">
        <v>172</v>
      </c>
      <c r="C48" s="857" t="s">
        <v>106</v>
      </c>
      <c r="D48" s="857" t="s">
        <v>134</v>
      </c>
      <c r="E48" s="857" t="s">
        <v>205</v>
      </c>
      <c r="F48" s="558" t="s">
        <v>366</v>
      </c>
      <c r="G48" s="558"/>
      <c r="H48" s="858">
        <f>H49+H51</f>
        <v>2885.4</v>
      </c>
    </row>
    <row r="49" spans="1:9" ht="24" x14ac:dyDescent="0.25">
      <c r="A49" s="566" t="s">
        <v>654</v>
      </c>
      <c r="B49" s="581" t="s">
        <v>172</v>
      </c>
      <c r="C49" s="581" t="s">
        <v>106</v>
      </c>
      <c r="D49" s="581" t="s">
        <v>134</v>
      </c>
      <c r="E49" s="581" t="s">
        <v>546</v>
      </c>
      <c r="F49" s="559">
        <v>264</v>
      </c>
      <c r="G49" s="559"/>
      <c r="H49" s="580">
        <f>H50</f>
        <v>2885.4</v>
      </c>
    </row>
    <row r="50" spans="1:9" x14ac:dyDescent="0.25">
      <c r="A50" s="567" t="s">
        <v>367</v>
      </c>
      <c r="B50" s="852" t="s">
        <v>172</v>
      </c>
      <c r="C50" s="852" t="s">
        <v>106</v>
      </c>
      <c r="D50" s="852" t="s">
        <v>134</v>
      </c>
      <c r="E50" s="852" t="s">
        <v>546</v>
      </c>
      <c r="F50" s="560">
        <v>264</v>
      </c>
      <c r="G50" s="560" t="s">
        <v>368</v>
      </c>
      <c r="H50" s="281">
        <f>рПенс!H20</f>
        <v>2885.4</v>
      </c>
      <c r="I50" s="638">
        <v>2885400</v>
      </c>
    </row>
    <row r="51" spans="1:9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9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9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9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9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9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9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9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9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9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9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9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9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172</v>
      </c>
      <c r="C65" s="848" t="s">
        <v>106</v>
      </c>
      <c r="D65" s="848" t="s">
        <v>134</v>
      </c>
      <c r="E65" s="848" t="s">
        <v>205</v>
      </c>
      <c r="F65" s="563"/>
      <c r="G65" s="563"/>
      <c r="H65" s="850">
        <f>H49</f>
        <v>2885.4</v>
      </c>
    </row>
    <row r="66" spans="1:9" x14ac:dyDescent="0.25">
      <c r="A66" s="571" t="s">
        <v>377</v>
      </c>
      <c r="B66" s="848" t="s">
        <v>172</v>
      </c>
      <c r="C66" s="848" t="s">
        <v>106</v>
      </c>
      <c r="D66" s="848" t="s">
        <v>485</v>
      </c>
      <c r="E66" s="848" t="s">
        <v>345</v>
      </c>
      <c r="F66" s="570"/>
      <c r="G66" s="570"/>
      <c r="H66" s="850">
        <f>H59+H16</f>
        <v>2885.4</v>
      </c>
      <c r="I66" s="638">
        <f>SUM(I16:I64)</f>
        <v>2885400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  <row r="68" spans="1:9" x14ac:dyDescent="0.25">
      <c r="I68" s="841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6"/>
  <sheetViews>
    <sheetView workbookViewId="0">
      <selection activeCell="L16" sqref="L16"/>
    </sheetView>
  </sheetViews>
  <sheetFormatPr defaultRowHeight="15" x14ac:dyDescent="0.25"/>
  <cols>
    <col min="1" max="1" width="5.85546875" style="279" customWidth="1"/>
    <col min="2" max="2" width="22.7109375" style="279" customWidth="1"/>
    <col min="3" max="3" width="7.42578125" style="279" customWidth="1"/>
    <col min="4" max="4" width="8" style="279" customWidth="1"/>
    <col min="5" max="5" width="9.140625" style="279"/>
    <col min="6" max="6" width="13.5703125" style="279" customWidth="1"/>
    <col min="7" max="7" width="8.85546875" style="279" customWidth="1"/>
    <col min="8" max="8" width="11.5703125" style="279" customWidth="1"/>
    <col min="9" max="244" width="9.140625" style="279"/>
    <col min="245" max="245" width="5.85546875" style="279" customWidth="1"/>
    <col min="246" max="246" width="10.5703125" style="279" customWidth="1"/>
    <col min="247" max="247" width="11.140625" style="279" customWidth="1"/>
    <col min="248" max="248" width="7.42578125" style="279" customWidth="1"/>
    <col min="249" max="249" width="8" style="279" customWidth="1"/>
    <col min="250" max="250" width="9.140625" style="279"/>
    <col min="251" max="251" width="7.140625" style="279" customWidth="1"/>
    <col min="252" max="252" width="7.5703125" style="279" customWidth="1"/>
    <col min="253" max="253" width="8.85546875" style="279" customWidth="1"/>
    <col min="254" max="254" width="11.5703125" style="279" customWidth="1"/>
    <col min="255" max="255" width="9.140625" style="279"/>
    <col min="256" max="256" width="11.7109375" style="279" bestFit="1" customWidth="1"/>
    <col min="257" max="257" width="9.140625" style="279"/>
    <col min="258" max="259" width="11.7109375" style="279" bestFit="1" customWidth="1"/>
    <col min="260" max="500" width="9.140625" style="279"/>
    <col min="501" max="501" width="5.85546875" style="279" customWidth="1"/>
    <col min="502" max="502" width="10.5703125" style="279" customWidth="1"/>
    <col min="503" max="503" width="11.140625" style="279" customWidth="1"/>
    <col min="504" max="504" width="7.42578125" style="279" customWidth="1"/>
    <col min="505" max="505" width="8" style="279" customWidth="1"/>
    <col min="506" max="506" width="9.140625" style="279"/>
    <col min="507" max="507" width="7.140625" style="279" customWidth="1"/>
    <col min="508" max="508" width="7.5703125" style="279" customWidth="1"/>
    <col min="509" max="509" width="8.85546875" style="279" customWidth="1"/>
    <col min="510" max="510" width="11.5703125" style="279" customWidth="1"/>
    <col min="511" max="511" width="9.140625" style="279"/>
    <col min="512" max="512" width="11.7109375" style="279" bestFit="1" customWidth="1"/>
    <col min="513" max="513" width="9.140625" style="279"/>
    <col min="514" max="515" width="11.7109375" style="279" bestFit="1" customWidth="1"/>
    <col min="516" max="756" width="9.140625" style="279"/>
    <col min="757" max="757" width="5.85546875" style="279" customWidth="1"/>
    <col min="758" max="758" width="10.5703125" style="279" customWidth="1"/>
    <col min="759" max="759" width="11.140625" style="279" customWidth="1"/>
    <col min="760" max="760" width="7.42578125" style="279" customWidth="1"/>
    <col min="761" max="761" width="8" style="279" customWidth="1"/>
    <col min="762" max="762" width="9.140625" style="279"/>
    <col min="763" max="763" width="7.140625" style="279" customWidth="1"/>
    <col min="764" max="764" width="7.5703125" style="279" customWidth="1"/>
    <col min="765" max="765" width="8.85546875" style="279" customWidth="1"/>
    <col min="766" max="766" width="11.5703125" style="279" customWidth="1"/>
    <col min="767" max="767" width="9.140625" style="279"/>
    <col min="768" max="768" width="11.7109375" style="279" bestFit="1" customWidth="1"/>
    <col min="769" max="769" width="9.140625" style="279"/>
    <col min="770" max="771" width="11.7109375" style="279" bestFit="1" customWidth="1"/>
    <col min="772" max="1012" width="9.140625" style="279"/>
    <col min="1013" max="1013" width="5.85546875" style="279" customWidth="1"/>
    <col min="1014" max="1014" width="10.5703125" style="279" customWidth="1"/>
    <col min="1015" max="1015" width="11.140625" style="279" customWidth="1"/>
    <col min="1016" max="1016" width="7.42578125" style="279" customWidth="1"/>
    <col min="1017" max="1017" width="8" style="279" customWidth="1"/>
    <col min="1018" max="1018" width="9.140625" style="279"/>
    <col min="1019" max="1019" width="7.140625" style="279" customWidth="1"/>
    <col min="1020" max="1020" width="7.5703125" style="279" customWidth="1"/>
    <col min="1021" max="1021" width="8.85546875" style="279" customWidth="1"/>
    <col min="1022" max="1022" width="11.5703125" style="279" customWidth="1"/>
    <col min="1023" max="1023" width="9.140625" style="279"/>
    <col min="1024" max="1024" width="11.7109375" style="279" bestFit="1" customWidth="1"/>
    <col min="1025" max="1025" width="9.140625" style="279"/>
    <col min="1026" max="1027" width="11.7109375" style="279" bestFit="1" customWidth="1"/>
    <col min="1028" max="1268" width="9.140625" style="279"/>
    <col min="1269" max="1269" width="5.85546875" style="279" customWidth="1"/>
    <col min="1270" max="1270" width="10.5703125" style="279" customWidth="1"/>
    <col min="1271" max="1271" width="11.140625" style="279" customWidth="1"/>
    <col min="1272" max="1272" width="7.42578125" style="279" customWidth="1"/>
    <col min="1273" max="1273" width="8" style="279" customWidth="1"/>
    <col min="1274" max="1274" width="9.140625" style="279"/>
    <col min="1275" max="1275" width="7.140625" style="279" customWidth="1"/>
    <col min="1276" max="1276" width="7.5703125" style="279" customWidth="1"/>
    <col min="1277" max="1277" width="8.85546875" style="279" customWidth="1"/>
    <col min="1278" max="1278" width="11.5703125" style="279" customWidth="1"/>
    <col min="1279" max="1279" width="9.140625" style="279"/>
    <col min="1280" max="1280" width="11.7109375" style="279" bestFit="1" customWidth="1"/>
    <col min="1281" max="1281" width="9.140625" style="279"/>
    <col min="1282" max="1283" width="11.7109375" style="279" bestFit="1" customWidth="1"/>
    <col min="1284" max="1524" width="9.140625" style="279"/>
    <col min="1525" max="1525" width="5.85546875" style="279" customWidth="1"/>
    <col min="1526" max="1526" width="10.5703125" style="279" customWidth="1"/>
    <col min="1527" max="1527" width="11.140625" style="279" customWidth="1"/>
    <col min="1528" max="1528" width="7.42578125" style="279" customWidth="1"/>
    <col min="1529" max="1529" width="8" style="279" customWidth="1"/>
    <col min="1530" max="1530" width="9.140625" style="279"/>
    <col min="1531" max="1531" width="7.140625" style="279" customWidth="1"/>
    <col min="1532" max="1532" width="7.5703125" style="279" customWidth="1"/>
    <col min="1533" max="1533" width="8.85546875" style="279" customWidth="1"/>
    <col min="1534" max="1534" width="11.5703125" style="279" customWidth="1"/>
    <col min="1535" max="1535" width="9.140625" style="279"/>
    <col min="1536" max="1536" width="11.7109375" style="279" bestFit="1" customWidth="1"/>
    <col min="1537" max="1537" width="9.140625" style="279"/>
    <col min="1538" max="1539" width="11.7109375" style="279" bestFit="1" customWidth="1"/>
    <col min="1540" max="1780" width="9.140625" style="279"/>
    <col min="1781" max="1781" width="5.85546875" style="279" customWidth="1"/>
    <col min="1782" max="1782" width="10.5703125" style="279" customWidth="1"/>
    <col min="1783" max="1783" width="11.140625" style="279" customWidth="1"/>
    <col min="1784" max="1784" width="7.42578125" style="279" customWidth="1"/>
    <col min="1785" max="1785" width="8" style="279" customWidth="1"/>
    <col min="1786" max="1786" width="9.140625" style="279"/>
    <col min="1787" max="1787" width="7.140625" style="279" customWidth="1"/>
    <col min="1788" max="1788" width="7.5703125" style="279" customWidth="1"/>
    <col min="1789" max="1789" width="8.85546875" style="279" customWidth="1"/>
    <col min="1790" max="1790" width="11.5703125" style="279" customWidth="1"/>
    <col min="1791" max="1791" width="9.140625" style="279"/>
    <col min="1792" max="1792" width="11.7109375" style="279" bestFit="1" customWidth="1"/>
    <col min="1793" max="1793" width="9.140625" style="279"/>
    <col min="1794" max="1795" width="11.7109375" style="279" bestFit="1" customWidth="1"/>
    <col min="1796" max="2036" width="9.140625" style="279"/>
    <col min="2037" max="2037" width="5.85546875" style="279" customWidth="1"/>
    <col min="2038" max="2038" width="10.5703125" style="279" customWidth="1"/>
    <col min="2039" max="2039" width="11.140625" style="279" customWidth="1"/>
    <col min="2040" max="2040" width="7.42578125" style="279" customWidth="1"/>
    <col min="2041" max="2041" width="8" style="279" customWidth="1"/>
    <col min="2042" max="2042" width="9.140625" style="279"/>
    <col min="2043" max="2043" width="7.140625" style="279" customWidth="1"/>
    <col min="2044" max="2044" width="7.5703125" style="279" customWidth="1"/>
    <col min="2045" max="2045" width="8.85546875" style="279" customWidth="1"/>
    <col min="2046" max="2046" width="11.5703125" style="279" customWidth="1"/>
    <col min="2047" max="2047" width="9.140625" style="279"/>
    <col min="2048" max="2048" width="11.7109375" style="279" bestFit="1" customWidth="1"/>
    <col min="2049" max="2049" width="9.140625" style="279"/>
    <col min="2050" max="2051" width="11.7109375" style="279" bestFit="1" customWidth="1"/>
    <col min="2052" max="2292" width="9.140625" style="279"/>
    <col min="2293" max="2293" width="5.85546875" style="279" customWidth="1"/>
    <col min="2294" max="2294" width="10.5703125" style="279" customWidth="1"/>
    <col min="2295" max="2295" width="11.140625" style="279" customWidth="1"/>
    <col min="2296" max="2296" width="7.42578125" style="279" customWidth="1"/>
    <col min="2297" max="2297" width="8" style="279" customWidth="1"/>
    <col min="2298" max="2298" width="9.140625" style="279"/>
    <col min="2299" max="2299" width="7.140625" style="279" customWidth="1"/>
    <col min="2300" max="2300" width="7.5703125" style="279" customWidth="1"/>
    <col min="2301" max="2301" width="8.85546875" style="279" customWidth="1"/>
    <col min="2302" max="2302" width="11.5703125" style="279" customWidth="1"/>
    <col min="2303" max="2303" width="9.140625" style="279"/>
    <col min="2304" max="2304" width="11.7109375" style="279" bestFit="1" customWidth="1"/>
    <col min="2305" max="2305" width="9.140625" style="279"/>
    <col min="2306" max="2307" width="11.7109375" style="279" bestFit="1" customWidth="1"/>
    <col min="2308" max="2548" width="9.140625" style="279"/>
    <col min="2549" max="2549" width="5.85546875" style="279" customWidth="1"/>
    <col min="2550" max="2550" width="10.5703125" style="279" customWidth="1"/>
    <col min="2551" max="2551" width="11.140625" style="279" customWidth="1"/>
    <col min="2552" max="2552" width="7.42578125" style="279" customWidth="1"/>
    <col min="2553" max="2553" width="8" style="279" customWidth="1"/>
    <col min="2554" max="2554" width="9.140625" style="279"/>
    <col min="2555" max="2555" width="7.140625" style="279" customWidth="1"/>
    <col min="2556" max="2556" width="7.5703125" style="279" customWidth="1"/>
    <col min="2557" max="2557" width="8.85546875" style="279" customWidth="1"/>
    <col min="2558" max="2558" width="11.5703125" style="279" customWidth="1"/>
    <col min="2559" max="2559" width="9.140625" style="279"/>
    <col min="2560" max="2560" width="11.7109375" style="279" bestFit="1" customWidth="1"/>
    <col min="2561" max="2561" width="9.140625" style="279"/>
    <col min="2562" max="2563" width="11.7109375" style="279" bestFit="1" customWidth="1"/>
    <col min="2564" max="2804" width="9.140625" style="279"/>
    <col min="2805" max="2805" width="5.85546875" style="279" customWidth="1"/>
    <col min="2806" max="2806" width="10.5703125" style="279" customWidth="1"/>
    <col min="2807" max="2807" width="11.140625" style="279" customWidth="1"/>
    <col min="2808" max="2808" width="7.42578125" style="279" customWidth="1"/>
    <col min="2809" max="2809" width="8" style="279" customWidth="1"/>
    <col min="2810" max="2810" width="9.140625" style="279"/>
    <col min="2811" max="2811" width="7.140625" style="279" customWidth="1"/>
    <col min="2812" max="2812" width="7.5703125" style="279" customWidth="1"/>
    <col min="2813" max="2813" width="8.85546875" style="279" customWidth="1"/>
    <col min="2814" max="2814" width="11.5703125" style="279" customWidth="1"/>
    <col min="2815" max="2815" width="9.140625" style="279"/>
    <col min="2816" max="2816" width="11.7109375" style="279" bestFit="1" customWidth="1"/>
    <col min="2817" max="2817" width="9.140625" style="279"/>
    <col min="2818" max="2819" width="11.7109375" style="279" bestFit="1" customWidth="1"/>
    <col min="2820" max="3060" width="9.140625" style="279"/>
    <col min="3061" max="3061" width="5.85546875" style="279" customWidth="1"/>
    <col min="3062" max="3062" width="10.5703125" style="279" customWidth="1"/>
    <col min="3063" max="3063" width="11.140625" style="279" customWidth="1"/>
    <col min="3064" max="3064" width="7.42578125" style="279" customWidth="1"/>
    <col min="3065" max="3065" width="8" style="279" customWidth="1"/>
    <col min="3066" max="3066" width="9.140625" style="279"/>
    <col min="3067" max="3067" width="7.140625" style="279" customWidth="1"/>
    <col min="3068" max="3068" width="7.5703125" style="279" customWidth="1"/>
    <col min="3069" max="3069" width="8.85546875" style="279" customWidth="1"/>
    <col min="3070" max="3070" width="11.5703125" style="279" customWidth="1"/>
    <col min="3071" max="3071" width="9.140625" style="279"/>
    <col min="3072" max="3072" width="11.7109375" style="279" bestFit="1" customWidth="1"/>
    <col min="3073" max="3073" width="9.140625" style="279"/>
    <col min="3074" max="3075" width="11.7109375" style="279" bestFit="1" customWidth="1"/>
    <col min="3076" max="3316" width="9.140625" style="279"/>
    <col min="3317" max="3317" width="5.85546875" style="279" customWidth="1"/>
    <col min="3318" max="3318" width="10.5703125" style="279" customWidth="1"/>
    <col min="3319" max="3319" width="11.140625" style="279" customWidth="1"/>
    <col min="3320" max="3320" width="7.42578125" style="279" customWidth="1"/>
    <col min="3321" max="3321" width="8" style="279" customWidth="1"/>
    <col min="3322" max="3322" width="9.140625" style="279"/>
    <col min="3323" max="3323" width="7.140625" style="279" customWidth="1"/>
    <col min="3324" max="3324" width="7.5703125" style="279" customWidth="1"/>
    <col min="3325" max="3325" width="8.85546875" style="279" customWidth="1"/>
    <col min="3326" max="3326" width="11.5703125" style="279" customWidth="1"/>
    <col min="3327" max="3327" width="9.140625" style="279"/>
    <col min="3328" max="3328" width="11.7109375" style="279" bestFit="1" customWidth="1"/>
    <col min="3329" max="3329" width="9.140625" style="279"/>
    <col min="3330" max="3331" width="11.7109375" style="279" bestFit="1" customWidth="1"/>
    <col min="3332" max="3572" width="9.140625" style="279"/>
    <col min="3573" max="3573" width="5.85546875" style="279" customWidth="1"/>
    <col min="3574" max="3574" width="10.5703125" style="279" customWidth="1"/>
    <col min="3575" max="3575" width="11.140625" style="279" customWidth="1"/>
    <col min="3576" max="3576" width="7.42578125" style="279" customWidth="1"/>
    <col min="3577" max="3577" width="8" style="279" customWidth="1"/>
    <col min="3578" max="3578" width="9.140625" style="279"/>
    <col min="3579" max="3579" width="7.140625" style="279" customWidth="1"/>
    <col min="3580" max="3580" width="7.5703125" style="279" customWidth="1"/>
    <col min="3581" max="3581" width="8.85546875" style="279" customWidth="1"/>
    <col min="3582" max="3582" width="11.5703125" style="279" customWidth="1"/>
    <col min="3583" max="3583" width="9.140625" style="279"/>
    <col min="3584" max="3584" width="11.7109375" style="279" bestFit="1" customWidth="1"/>
    <col min="3585" max="3585" width="9.140625" style="279"/>
    <col min="3586" max="3587" width="11.7109375" style="279" bestFit="1" customWidth="1"/>
    <col min="3588" max="3828" width="9.140625" style="279"/>
    <col min="3829" max="3829" width="5.85546875" style="279" customWidth="1"/>
    <col min="3830" max="3830" width="10.5703125" style="279" customWidth="1"/>
    <col min="3831" max="3831" width="11.140625" style="279" customWidth="1"/>
    <col min="3832" max="3832" width="7.42578125" style="279" customWidth="1"/>
    <col min="3833" max="3833" width="8" style="279" customWidth="1"/>
    <col min="3834" max="3834" width="9.140625" style="279"/>
    <col min="3835" max="3835" width="7.140625" style="279" customWidth="1"/>
    <col min="3836" max="3836" width="7.5703125" style="279" customWidth="1"/>
    <col min="3837" max="3837" width="8.85546875" style="279" customWidth="1"/>
    <col min="3838" max="3838" width="11.5703125" style="279" customWidth="1"/>
    <col min="3839" max="3839" width="9.140625" style="279"/>
    <col min="3840" max="3840" width="11.7109375" style="279" bestFit="1" customWidth="1"/>
    <col min="3841" max="3841" width="9.140625" style="279"/>
    <col min="3842" max="3843" width="11.7109375" style="279" bestFit="1" customWidth="1"/>
    <col min="3844" max="4084" width="9.140625" style="279"/>
    <col min="4085" max="4085" width="5.85546875" style="279" customWidth="1"/>
    <col min="4086" max="4086" width="10.5703125" style="279" customWidth="1"/>
    <col min="4087" max="4087" width="11.140625" style="279" customWidth="1"/>
    <col min="4088" max="4088" width="7.42578125" style="279" customWidth="1"/>
    <col min="4089" max="4089" width="8" style="279" customWidth="1"/>
    <col min="4090" max="4090" width="9.140625" style="279"/>
    <col min="4091" max="4091" width="7.140625" style="279" customWidth="1"/>
    <col min="4092" max="4092" width="7.5703125" style="279" customWidth="1"/>
    <col min="4093" max="4093" width="8.85546875" style="279" customWidth="1"/>
    <col min="4094" max="4094" width="11.5703125" style="279" customWidth="1"/>
    <col min="4095" max="4095" width="9.140625" style="279"/>
    <col min="4096" max="4096" width="11.7109375" style="279" bestFit="1" customWidth="1"/>
    <col min="4097" max="4097" width="9.140625" style="279"/>
    <col min="4098" max="4099" width="11.7109375" style="279" bestFit="1" customWidth="1"/>
    <col min="4100" max="4340" width="9.140625" style="279"/>
    <col min="4341" max="4341" width="5.85546875" style="279" customWidth="1"/>
    <col min="4342" max="4342" width="10.5703125" style="279" customWidth="1"/>
    <col min="4343" max="4343" width="11.140625" style="279" customWidth="1"/>
    <col min="4344" max="4344" width="7.42578125" style="279" customWidth="1"/>
    <col min="4345" max="4345" width="8" style="279" customWidth="1"/>
    <col min="4346" max="4346" width="9.140625" style="279"/>
    <col min="4347" max="4347" width="7.140625" style="279" customWidth="1"/>
    <col min="4348" max="4348" width="7.5703125" style="279" customWidth="1"/>
    <col min="4349" max="4349" width="8.85546875" style="279" customWidth="1"/>
    <col min="4350" max="4350" width="11.5703125" style="279" customWidth="1"/>
    <col min="4351" max="4351" width="9.140625" style="279"/>
    <col min="4352" max="4352" width="11.7109375" style="279" bestFit="1" customWidth="1"/>
    <col min="4353" max="4353" width="9.140625" style="279"/>
    <col min="4354" max="4355" width="11.7109375" style="279" bestFit="1" customWidth="1"/>
    <col min="4356" max="4596" width="9.140625" style="279"/>
    <col min="4597" max="4597" width="5.85546875" style="279" customWidth="1"/>
    <col min="4598" max="4598" width="10.5703125" style="279" customWidth="1"/>
    <col min="4599" max="4599" width="11.140625" style="279" customWidth="1"/>
    <col min="4600" max="4600" width="7.42578125" style="279" customWidth="1"/>
    <col min="4601" max="4601" width="8" style="279" customWidth="1"/>
    <col min="4602" max="4602" width="9.140625" style="279"/>
    <col min="4603" max="4603" width="7.140625" style="279" customWidth="1"/>
    <col min="4604" max="4604" width="7.5703125" style="279" customWidth="1"/>
    <col min="4605" max="4605" width="8.85546875" style="279" customWidth="1"/>
    <col min="4606" max="4606" width="11.5703125" style="279" customWidth="1"/>
    <col min="4607" max="4607" width="9.140625" style="279"/>
    <col min="4608" max="4608" width="11.7109375" style="279" bestFit="1" customWidth="1"/>
    <col min="4609" max="4609" width="9.140625" style="279"/>
    <col min="4610" max="4611" width="11.7109375" style="279" bestFit="1" customWidth="1"/>
    <col min="4612" max="4852" width="9.140625" style="279"/>
    <col min="4853" max="4853" width="5.85546875" style="279" customWidth="1"/>
    <col min="4854" max="4854" width="10.5703125" style="279" customWidth="1"/>
    <col min="4855" max="4855" width="11.140625" style="279" customWidth="1"/>
    <col min="4856" max="4856" width="7.42578125" style="279" customWidth="1"/>
    <col min="4857" max="4857" width="8" style="279" customWidth="1"/>
    <col min="4858" max="4858" width="9.140625" style="279"/>
    <col min="4859" max="4859" width="7.140625" style="279" customWidth="1"/>
    <col min="4860" max="4860" width="7.5703125" style="279" customWidth="1"/>
    <col min="4861" max="4861" width="8.85546875" style="279" customWidth="1"/>
    <col min="4862" max="4862" width="11.5703125" style="279" customWidth="1"/>
    <col min="4863" max="4863" width="9.140625" style="279"/>
    <col min="4864" max="4864" width="11.7109375" style="279" bestFit="1" customWidth="1"/>
    <col min="4865" max="4865" width="9.140625" style="279"/>
    <col min="4866" max="4867" width="11.7109375" style="279" bestFit="1" customWidth="1"/>
    <col min="4868" max="5108" width="9.140625" style="279"/>
    <col min="5109" max="5109" width="5.85546875" style="279" customWidth="1"/>
    <col min="5110" max="5110" width="10.5703125" style="279" customWidth="1"/>
    <col min="5111" max="5111" width="11.140625" style="279" customWidth="1"/>
    <col min="5112" max="5112" width="7.42578125" style="279" customWidth="1"/>
    <col min="5113" max="5113" width="8" style="279" customWidth="1"/>
    <col min="5114" max="5114" width="9.140625" style="279"/>
    <col min="5115" max="5115" width="7.140625" style="279" customWidth="1"/>
    <col min="5116" max="5116" width="7.5703125" style="279" customWidth="1"/>
    <col min="5117" max="5117" width="8.85546875" style="279" customWidth="1"/>
    <col min="5118" max="5118" width="11.5703125" style="279" customWidth="1"/>
    <col min="5119" max="5119" width="9.140625" style="279"/>
    <col min="5120" max="5120" width="11.7109375" style="279" bestFit="1" customWidth="1"/>
    <col min="5121" max="5121" width="9.140625" style="279"/>
    <col min="5122" max="5123" width="11.7109375" style="279" bestFit="1" customWidth="1"/>
    <col min="5124" max="5364" width="9.140625" style="279"/>
    <col min="5365" max="5365" width="5.85546875" style="279" customWidth="1"/>
    <col min="5366" max="5366" width="10.5703125" style="279" customWidth="1"/>
    <col min="5367" max="5367" width="11.140625" style="279" customWidth="1"/>
    <col min="5368" max="5368" width="7.42578125" style="279" customWidth="1"/>
    <col min="5369" max="5369" width="8" style="279" customWidth="1"/>
    <col min="5370" max="5370" width="9.140625" style="279"/>
    <col min="5371" max="5371" width="7.140625" style="279" customWidth="1"/>
    <col min="5372" max="5372" width="7.5703125" style="279" customWidth="1"/>
    <col min="5373" max="5373" width="8.85546875" style="279" customWidth="1"/>
    <col min="5374" max="5374" width="11.5703125" style="279" customWidth="1"/>
    <col min="5375" max="5375" width="9.140625" style="279"/>
    <col min="5376" max="5376" width="11.7109375" style="279" bestFit="1" customWidth="1"/>
    <col min="5377" max="5377" width="9.140625" style="279"/>
    <col min="5378" max="5379" width="11.7109375" style="279" bestFit="1" customWidth="1"/>
    <col min="5380" max="5620" width="9.140625" style="279"/>
    <col min="5621" max="5621" width="5.85546875" style="279" customWidth="1"/>
    <col min="5622" max="5622" width="10.5703125" style="279" customWidth="1"/>
    <col min="5623" max="5623" width="11.140625" style="279" customWidth="1"/>
    <col min="5624" max="5624" width="7.42578125" style="279" customWidth="1"/>
    <col min="5625" max="5625" width="8" style="279" customWidth="1"/>
    <col min="5626" max="5626" width="9.140625" style="279"/>
    <col min="5627" max="5627" width="7.140625" style="279" customWidth="1"/>
    <col min="5628" max="5628" width="7.5703125" style="279" customWidth="1"/>
    <col min="5629" max="5629" width="8.85546875" style="279" customWidth="1"/>
    <col min="5630" max="5630" width="11.5703125" style="279" customWidth="1"/>
    <col min="5631" max="5631" width="9.140625" style="279"/>
    <col min="5632" max="5632" width="11.7109375" style="279" bestFit="1" customWidth="1"/>
    <col min="5633" max="5633" width="9.140625" style="279"/>
    <col min="5634" max="5635" width="11.7109375" style="279" bestFit="1" customWidth="1"/>
    <col min="5636" max="5876" width="9.140625" style="279"/>
    <col min="5877" max="5877" width="5.85546875" style="279" customWidth="1"/>
    <col min="5878" max="5878" width="10.5703125" style="279" customWidth="1"/>
    <col min="5879" max="5879" width="11.140625" style="279" customWidth="1"/>
    <col min="5880" max="5880" width="7.42578125" style="279" customWidth="1"/>
    <col min="5881" max="5881" width="8" style="279" customWidth="1"/>
    <col min="5882" max="5882" width="9.140625" style="279"/>
    <col min="5883" max="5883" width="7.140625" style="279" customWidth="1"/>
    <col min="5884" max="5884" width="7.5703125" style="279" customWidth="1"/>
    <col min="5885" max="5885" width="8.85546875" style="279" customWidth="1"/>
    <col min="5886" max="5886" width="11.5703125" style="279" customWidth="1"/>
    <col min="5887" max="5887" width="9.140625" style="279"/>
    <col min="5888" max="5888" width="11.7109375" style="279" bestFit="1" customWidth="1"/>
    <col min="5889" max="5889" width="9.140625" style="279"/>
    <col min="5890" max="5891" width="11.7109375" style="279" bestFit="1" customWidth="1"/>
    <col min="5892" max="6132" width="9.140625" style="279"/>
    <col min="6133" max="6133" width="5.85546875" style="279" customWidth="1"/>
    <col min="6134" max="6134" width="10.5703125" style="279" customWidth="1"/>
    <col min="6135" max="6135" width="11.140625" style="279" customWidth="1"/>
    <col min="6136" max="6136" width="7.42578125" style="279" customWidth="1"/>
    <col min="6137" max="6137" width="8" style="279" customWidth="1"/>
    <col min="6138" max="6138" width="9.140625" style="279"/>
    <col min="6139" max="6139" width="7.140625" style="279" customWidth="1"/>
    <col min="6140" max="6140" width="7.5703125" style="279" customWidth="1"/>
    <col min="6141" max="6141" width="8.85546875" style="279" customWidth="1"/>
    <col min="6142" max="6142" width="11.5703125" style="279" customWidth="1"/>
    <col min="6143" max="6143" width="9.140625" style="279"/>
    <col min="6144" max="6144" width="11.7109375" style="279" bestFit="1" customWidth="1"/>
    <col min="6145" max="6145" width="9.140625" style="279"/>
    <col min="6146" max="6147" width="11.7109375" style="279" bestFit="1" customWidth="1"/>
    <col min="6148" max="6388" width="9.140625" style="279"/>
    <col min="6389" max="6389" width="5.85546875" style="279" customWidth="1"/>
    <col min="6390" max="6390" width="10.5703125" style="279" customWidth="1"/>
    <col min="6391" max="6391" width="11.140625" style="279" customWidth="1"/>
    <col min="6392" max="6392" width="7.42578125" style="279" customWidth="1"/>
    <col min="6393" max="6393" width="8" style="279" customWidth="1"/>
    <col min="6394" max="6394" width="9.140625" style="279"/>
    <col min="6395" max="6395" width="7.140625" style="279" customWidth="1"/>
    <col min="6396" max="6396" width="7.5703125" style="279" customWidth="1"/>
    <col min="6397" max="6397" width="8.85546875" style="279" customWidth="1"/>
    <col min="6398" max="6398" width="11.5703125" style="279" customWidth="1"/>
    <col min="6399" max="6399" width="9.140625" style="279"/>
    <col min="6400" max="6400" width="11.7109375" style="279" bestFit="1" customWidth="1"/>
    <col min="6401" max="6401" width="9.140625" style="279"/>
    <col min="6402" max="6403" width="11.7109375" style="279" bestFit="1" customWidth="1"/>
    <col min="6404" max="6644" width="9.140625" style="279"/>
    <col min="6645" max="6645" width="5.85546875" style="279" customWidth="1"/>
    <col min="6646" max="6646" width="10.5703125" style="279" customWidth="1"/>
    <col min="6647" max="6647" width="11.140625" style="279" customWidth="1"/>
    <col min="6648" max="6648" width="7.42578125" style="279" customWidth="1"/>
    <col min="6649" max="6649" width="8" style="279" customWidth="1"/>
    <col min="6650" max="6650" width="9.140625" style="279"/>
    <col min="6651" max="6651" width="7.140625" style="279" customWidth="1"/>
    <col min="6652" max="6652" width="7.5703125" style="279" customWidth="1"/>
    <col min="6653" max="6653" width="8.85546875" style="279" customWidth="1"/>
    <col min="6654" max="6654" width="11.5703125" style="279" customWidth="1"/>
    <col min="6655" max="6655" width="9.140625" style="279"/>
    <col min="6656" max="6656" width="11.7109375" style="279" bestFit="1" customWidth="1"/>
    <col min="6657" max="6657" width="9.140625" style="279"/>
    <col min="6658" max="6659" width="11.7109375" style="279" bestFit="1" customWidth="1"/>
    <col min="6660" max="6900" width="9.140625" style="279"/>
    <col min="6901" max="6901" width="5.85546875" style="279" customWidth="1"/>
    <col min="6902" max="6902" width="10.5703125" style="279" customWidth="1"/>
    <col min="6903" max="6903" width="11.140625" style="279" customWidth="1"/>
    <col min="6904" max="6904" width="7.42578125" style="279" customWidth="1"/>
    <col min="6905" max="6905" width="8" style="279" customWidth="1"/>
    <col min="6906" max="6906" width="9.140625" style="279"/>
    <col min="6907" max="6907" width="7.140625" style="279" customWidth="1"/>
    <col min="6908" max="6908" width="7.5703125" style="279" customWidth="1"/>
    <col min="6909" max="6909" width="8.85546875" style="279" customWidth="1"/>
    <col min="6910" max="6910" width="11.5703125" style="279" customWidth="1"/>
    <col min="6911" max="6911" width="9.140625" style="279"/>
    <col min="6912" max="6912" width="11.7109375" style="279" bestFit="1" customWidth="1"/>
    <col min="6913" max="6913" width="9.140625" style="279"/>
    <col min="6914" max="6915" width="11.7109375" style="279" bestFit="1" customWidth="1"/>
    <col min="6916" max="7156" width="9.140625" style="279"/>
    <col min="7157" max="7157" width="5.85546875" style="279" customWidth="1"/>
    <col min="7158" max="7158" width="10.5703125" style="279" customWidth="1"/>
    <col min="7159" max="7159" width="11.140625" style="279" customWidth="1"/>
    <col min="7160" max="7160" width="7.42578125" style="279" customWidth="1"/>
    <col min="7161" max="7161" width="8" style="279" customWidth="1"/>
    <col min="7162" max="7162" width="9.140625" style="279"/>
    <col min="7163" max="7163" width="7.140625" style="279" customWidth="1"/>
    <col min="7164" max="7164" width="7.5703125" style="279" customWidth="1"/>
    <col min="7165" max="7165" width="8.85546875" style="279" customWidth="1"/>
    <col min="7166" max="7166" width="11.5703125" style="279" customWidth="1"/>
    <col min="7167" max="7167" width="9.140625" style="279"/>
    <col min="7168" max="7168" width="11.7109375" style="279" bestFit="1" customWidth="1"/>
    <col min="7169" max="7169" width="9.140625" style="279"/>
    <col min="7170" max="7171" width="11.7109375" style="279" bestFit="1" customWidth="1"/>
    <col min="7172" max="7412" width="9.140625" style="279"/>
    <col min="7413" max="7413" width="5.85546875" style="279" customWidth="1"/>
    <col min="7414" max="7414" width="10.5703125" style="279" customWidth="1"/>
    <col min="7415" max="7415" width="11.140625" style="279" customWidth="1"/>
    <col min="7416" max="7416" width="7.42578125" style="279" customWidth="1"/>
    <col min="7417" max="7417" width="8" style="279" customWidth="1"/>
    <col min="7418" max="7418" width="9.140625" style="279"/>
    <col min="7419" max="7419" width="7.140625" style="279" customWidth="1"/>
    <col min="7420" max="7420" width="7.5703125" style="279" customWidth="1"/>
    <col min="7421" max="7421" width="8.85546875" style="279" customWidth="1"/>
    <col min="7422" max="7422" width="11.5703125" style="279" customWidth="1"/>
    <col min="7423" max="7423" width="9.140625" style="279"/>
    <col min="7424" max="7424" width="11.7109375" style="279" bestFit="1" customWidth="1"/>
    <col min="7425" max="7425" width="9.140625" style="279"/>
    <col min="7426" max="7427" width="11.7109375" style="279" bestFit="1" customWidth="1"/>
    <col min="7428" max="7668" width="9.140625" style="279"/>
    <col min="7669" max="7669" width="5.85546875" style="279" customWidth="1"/>
    <col min="7670" max="7670" width="10.5703125" style="279" customWidth="1"/>
    <col min="7671" max="7671" width="11.140625" style="279" customWidth="1"/>
    <col min="7672" max="7672" width="7.42578125" style="279" customWidth="1"/>
    <col min="7673" max="7673" width="8" style="279" customWidth="1"/>
    <col min="7674" max="7674" width="9.140625" style="279"/>
    <col min="7675" max="7675" width="7.140625" style="279" customWidth="1"/>
    <col min="7676" max="7676" width="7.5703125" style="279" customWidth="1"/>
    <col min="7677" max="7677" width="8.85546875" style="279" customWidth="1"/>
    <col min="7678" max="7678" width="11.5703125" style="279" customWidth="1"/>
    <col min="7679" max="7679" width="9.140625" style="279"/>
    <col min="7680" max="7680" width="11.7109375" style="279" bestFit="1" customWidth="1"/>
    <col min="7681" max="7681" width="9.140625" style="279"/>
    <col min="7682" max="7683" width="11.7109375" style="279" bestFit="1" customWidth="1"/>
    <col min="7684" max="7924" width="9.140625" style="279"/>
    <col min="7925" max="7925" width="5.85546875" style="279" customWidth="1"/>
    <col min="7926" max="7926" width="10.5703125" style="279" customWidth="1"/>
    <col min="7927" max="7927" width="11.140625" style="279" customWidth="1"/>
    <col min="7928" max="7928" width="7.42578125" style="279" customWidth="1"/>
    <col min="7929" max="7929" width="8" style="279" customWidth="1"/>
    <col min="7930" max="7930" width="9.140625" style="279"/>
    <col min="7931" max="7931" width="7.140625" style="279" customWidth="1"/>
    <col min="7932" max="7932" width="7.5703125" style="279" customWidth="1"/>
    <col min="7933" max="7933" width="8.85546875" style="279" customWidth="1"/>
    <col min="7934" max="7934" width="11.5703125" style="279" customWidth="1"/>
    <col min="7935" max="7935" width="9.140625" style="279"/>
    <col min="7936" max="7936" width="11.7109375" style="279" bestFit="1" customWidth="1"/>
    <col min="7937" max="7937" width="9.140625" style="279"/>
    <col min="7938" max="7939" width="11.7109375" style="279" bestFit="1" customWidth="1"/>
    <col min="7940" max="8180" width="9.140625" style="279"/>
    <col min="8181" max="8181" width="5.85546875" style="279" customWidth="1"/>
    <col min="8182" max="8182" width="10.5703125" style="279" customWidth="1"/>
    <col min="8183" max="8183" width="11.140625" style="279" customWidth="1"/>
    <col min="8184" max="8184" width="7.42578125" style="279" customWidth="1"/>
    <col min="8185" max="8185" width="8" style="279" customWidth="1"/>
    <col min="8186" max="8186" width="9.140625" style="279"/>
    <col min="8187" max="8187" width="7.140625" style="279" customWidth="1"/>
    <col min="8188" max="8188" width="7.5703125" style="279" customWidth="1"/>
    <col min="8189" max="8189" width="8.85546875" style="279" customWidth="1"/>
    <col min="8190" max="8190" width="11.5703125" style="279" customWidth="1"/>
    <col min="8191" max="8191" width="9.140625" style="279"/>
    <col min="8192" max="8192" width="11.7109375" style="279" bestFit="1" customWidth="1"/>
    <col min="8193" max="8193" width="9.140625" style="279"/>
    <col min="8194" max="8195" width="11.7109375" style="279" bestFit="1" customWidth="1"/>
    <col min="8196" max="8436" width="9.140625" style="279"/>
    <col min="8437" max="8437" width="5.85546875" style="279" customWidth="1"/>
    <col min="8438" max="8438" width="10.5703125" style="279" customWidth="1"/>
    <col min="8439" max="8439" width="11.140625" style="279" customWidth="1"/>
    <col min="8440" max="8440" width="7.42578125" style="279" customWidth="1"/>
    <col min="8441" max="8441" width="8" style="279" customWidth="1"/>
    <col min="8442" max="8442" width="9.140625" style="279"/>
    <col min="8443" max="8443" width="7.140625" style="279" customWidth="1"/>
    <col min="8444" max="8444" width="7.5703125" style="279" customWidth="1"/>
    <col min="8445" max="8445" width="8.85546875" style="279" customWidth="1"/>
    <col min="8446" max="8446" width="11.5703125" style="279" customWidth="1"/>
    <col min="8447" max="8447" width="9.140625" style="279"/>
    <col min="8448" max="8448" width="11.7109375" style="279" bestFit="1" customWidth="1"/>
    <col min="8449" max="8449" width="9.140625" style="279"/>
    <col min="8450" max="8451" width="11.7109375" style="279" bestFit="1" customWidth="1"/>
    <col min="8452" max="8692" width="9.140625" style="279"/>
    <col min="8693" max="8693" width="5.85546875" style="279" customWidth="1"/>
    <col min="8694" max="8694" width="10.5703125" style="279" customWidth="1"/>
    <col min="8695" max="8695" width="11.140625" style="279" customWidth="1"/>
    <col min="8696" max="8696" width="7.42578125" style="279" customWidth="1"/>
    <col min="8697" max="8697" width="8" style="279" customWidth="1"/>
    <col min="8698" max="8698" width="9.140625" style="279"/>
    <col min="8699" max="8699" width="7.140625" style="279" customWidth="1"/>
    <col min="8700" max="8700" width="7.5703125" style="279" customWidth="1"/>
    <col min="8701" max="8701" width="8.85546875" style="279" customWidth="1"/>
    <col min="8702" max="8702" width="11.5703125" style="279" customWidth="1"/>
    <col min="8703" max="8703" width="9.140625" style="279"/>
    <col min="8704" max="8704" width="11.7109375" style="279" bestFit="1" customWidth="1"/>
    <col min="8705" max="8705" width="9.140625" style="279"/>
    <col min="8706" max="8707" width="11.7109375" style="279" bestFit="1" customWidth="1"/>
    <col min="8708" max="8948" width="9.140625" style="279"/>
    <col min="8949" max="8949" width="5.85546875" style="279" customWidth="1"/>
    <col min="8950" max="8950" width="10.5703125" style="279" customWidth="1"/>
    <col min="8951" max="8951" width="11.140625" style="279" customWidth="1"/>
    <col min="8952" max="8952" width="7.42578125" style="279" customWidth="1"/>
    <col min="8953" max="8953" width="8" style="279" customWidth="1"/>
    <col min="8954" max="8954" width="9.140625" style="279"/>
    <col min="8955" max="8955" width="7.140625" style="279" customWidth="1"/>
    <col min="8956" max="8956" width="7.5703125" style="279" customWidth="1"/>
    <col min="8957" max="8957" width="8.85546875" style="279" customWidth="1"/>
    <col min="8958" max="8958" width="11.5703125" style="279" customWidth="1"/>
    <col min="8959" max="8959" width="9.140625" style="279"/>
    <col min="8960" max="8960" width="11.7109375" style="279" bestFit="1" customWidth="1"/>
    <col min="8961" max="8961" width="9.140625" style="279"/>
    <col min="8962" max="8963" width="11.7109375" style="279" bestFit="1" customWidth="1"/>
    <col min="8964" max="9204" width="9.140625" style="279"/>
    <col min="9205" max="9205" width="5.85546875" style="279" customWidth="1"/>
    <col min="9206" max="9206" width="10.5703125" style="279" customWidth="1"/>
    <col min="9207" max="9207" width="11.140625" style="279" customWidth="1"/>
    <col min="9208" max="9208" width="7.42578125" style="279" customWidth="1"/>
    <col min="9209" max="9209" width="8" style="279" customWidth="1"/>
    <col min="9210" max="9210" width="9.140625" style="279"/>
    <col min="9211" max="9211" width="7.140625" style="279" customWidth="1"/>
    <col min="9212" max="9212" width="7.5703125" style="279" customWidth="1"/>
    <col min="9213" max="9213" width="8.85546875" style="279" customWidth="1"/>
    <col min="9214" max="9214" width="11.5703125" style="279" customWidth="1"/>
    <col min="9215" max="9215" width="9.140625" style="279"/>
    <col min="9216" max="9216" width="11.7109375" style="279" bestFit="1" customWidth="1"/>
    <col min="9217" max="9217" width="9.140625" style="279"/>
    <col min="9218" max="9219" width="11.7109375" style="279" bestFit="1" customWidth="1"/>
    <col min="9220" max="9460" width="9.140625" style="279"/>
    <col min="9461" max="9461" width="5.85546875" style="279" customWidth="1"/>
    <col min="9462" max="9462" width="10.5703125" style="279" customWidth="1"/>
    <col min="9463" max="9463" width="11.140625" style="279" customWidth="1"/>
    <col min="9464" max="9464" width="7.42578125" style="279" customWidth="1"/>
    <col min="9465" max="9465" width="8" style="279" customWidth="1"/>
    <col min="9466" max="9466" width="9.140625" style="279"/>
    <col min="9467" max="9467" width="7.140625" style="279" customWidth="1"/>
    <col min="9468" max="9468" width="7.5703125" style="279" customWidth="1"/>
    <col min="9469" max="9469" width="8.85546875" style="279" customWidth="1"/>
    <col min="9470" max="9470" width="11.5703125" style="279" customWidth="1"/>
    <col min="9471" max="9471" width="9.140625" style="279"/>
    <col min="9472" max="9472" width="11.7109375" style="279" bestFit="1" customWidth="1"/>
    <col min="9473" max="9473" width="9.140625" style="279"/>
    <col min="9474" max="9475" width="11.7109375" style="279" bestFit="1" customWidth="1"/>
    <col min="9476" max="9716" width="9.140625" style="279"/>
    <col min="9717" max="9717" width="5.85546875" style="279" customWidth="1"/>
    <col min="9718" max="9718" width="10.5703125" style="279" customWidth="1"/>
    <col min="9719" max="9719" width="11.140625" style="279" customWidth="1"/>
    <col min="9720" max="9720" width="7.42578125" style="279" customWidth="1"/>
    <col min="9721" max="9721" width="8" style="279" customWidth="1"/>
    <col min="9722" max="9722" width="9.140625" style="279"/>
    <col min="9723" max="9723" width="7.140625" style="279" customWidth="1"/>
    <col min="9724" max="9724" width="7.5703125" style="279" customWidth="1"/>
    <col min="9725" max="9725" width="8.85546875" style="279" customWidth="1"/>
    <col min="9726" max="9726" width="11.5703125" style="279" customWidth="1"/>
    <col min="9727" max="9727" width="9.140625" style="279"/>
    <col min="9728" max="9728" width="11.7109375" style="279" bestFit="1" customWidth="1"/>
    <col min="9729" max="9729" width="9.140625" style="279"/>
    <col min="9730" max="9731" width="11.7109375" style="279" bestFit="1" customWidth="1"/>
    <col min="9732" max="9972" width="9.140625" style="279"/>
    <col min="9973" max="9973" width="5.85546875" style="279" customWidth="1"/>
    <col min="9974" max="9974" width="10.5703125" style="279" customWidth="1"/>
    <col min="9975" max="9975" width="11.140625" style="279" customWidth="1"/>
    <col min="9976" max="9976" width="7.42578125" style="279" customWidth="1"/>
    <col min="9977" max="9977" width="8" style="279" customWidth="1"/>
    <col min="9978" max="9978" width="9.140625" style="279"/>
    <col min="9979" max="9979" width="7.140625" style="279" customWidth="1"/>
    <col min="9980" max="9980" width="7.5703125" style="279" customWidth="1"/>
    <col min="9981" max="9981" width="8.85546875" style="279" customWidth="1"/>
    <col min="9982" max="9982" width="11.5703125" style="279" customWidth="1"/>
    <col min="9983" max="9983" width="9.140625" style="279"/>
    <col min="9984" max="9984" width="11.7109375" style="279" bestFit="1" customWidth="1"/>
    <col min="9985" max="9985" width="9.140625" style="279"/>
    <col min="9986" max="9987" width="11.7109375" style="279" bestFit="1" customWidth="1"/>
    <col min="9988" max="10228" width="9.140625" style="279"/>
    <col min="10229" max="10229" width="5.85546875" style="279" customWidth="1"/>
    <col min="10230" max="10230" width="10.5703125" style="279" customWidth="1"/>
    <col min="10231" max="10231" width="11.140625" style="279" customWidth="1"/>
    <col min="10232" max="10232" width="7.42578125" style="279" customWidth="1"/>
    <col min="10233" max="10233" width="8" style="279" customWidth="1"/>
    <col min="10234" max="10234" width="9.140625" style="279"/>
    <col min="10235" max="10235" width="7.140625" style="279" customWidth="1"/>
    <col min="10236" max="10236" width="7.5703125" style="279" customWidth="1"/>
    <col min="10237" max="10237" width="8.85546875" style="279" customWidth="1"/>
    <col min="10238" max="10238" width="11.5703125" style="279" customWidth="1"/>
    <col min="10239" max="10239" width="9.140625" style="279"/>
    <col min="10240" max="10240" width="11.7109375" style="279" bestFit="1" customWidth="1"/>
    <col min="10241" max="10241" width="9.140625" style="279"/>
    <col min="10242" max="10243" width="11.7109375" style="279" bestFit="1" customWidth="1"/>
    <col min="10244" max="10484" width="9.140625" style="279"/>
    <col min="10485" max="10485" width="5.85546875" style="279" customWidth="1"/>
    <col min="10486" max="10486" width="10.5703125" style="279" customWidth="1"/>
    <col min="10487" max="10487" width="11.140625" style="279" customWidth="1"/>
    <col min="10488" max="10488" width="7.42578125" style="279" customWidth="1"/>
    <col min="10489" max="10489" width="8" style="279" customWidth="1"/>
    <col min="10490" max="10490" width="9.140625" style="279"/>
    <col min="10491" max="10491" width="7.140625" style="279" customWidth="1"/>
    <col min="10492" max="10492" width="7.5703125" style="279" customWidth="1"/>
    <col min="10493" max="10493" width="8.85546875" style="279" customWidth="1"/>
    <col min="10494" max="10494" width="11.5703125" style="279" customWidth="1"/>
    <col min="10495" max="10495" width="9.140625" style="279"/>
    <col min="10496" max="10496" width="11.7109375" style="279" bestFit="1" customWidth="1"/>
    <col min="10497" max="10497" width="9.140625" style="279"/>
    <col min="10498" max="10499" width="11.7109375" style="279" bestFit="1" customWidth="1"/>
    <col min="10500" max="10740" width="9.140625" style="279"/>
    <col min="10741" max="10741" width="5.85546875" style="279" customWidth="1"/>
    <col min="10742" max="10742" width="10.5703125" style="279" customWidth="1"/>
    <col min="10743" max="10743" width="11.140625" style="279" customWidth="1"/>
    <col min="10744" max="10744" width="7.42578125" style="279" customWidth="1"/>
    <col min="10745" max="10745" width="8" style="279" customWidth="1"/>
    <col min="10746" max="10746" width="9.140625" style="279"/>
    <col min="10747" max="10747" width="7.140625" style="279" customWidth="1"/>
    <col min="10748" max="10748" width="7.5703125" style="279" customWidth="1"/>
    <col min="10749" max="10749" width="8.85546875" style="279" customWidth="1"/>
    <col min="10750" max="10750" width="11.5703125" style="279" customWidth="1"/>
    <col min="10751" max="10751" width="9.140625" style="279"/>
    <col min="10752" max="10752" width="11.7109375" style="279" bestFit="1" customWidth="1"/>
    <col min="10753" max="10753" width="9.140625" style="279"/>
    <col min="10754" max="10755" width="11.7109375" style="279" bestFit="1" customWidth="1"/>
    <col min="10756" max="10996" width="9.140625" style="279"/>
    <col min="10997" max="10997" width="5.85546875" style="279" customWidth="1"/>
    <col min="10998" max="10998" width="10.5703125" style="279" customWidth="1"/>
    <col min="10999" max="10999" width="11.140625" style="279" customWidth="1"/>
    <col min="11000" max="11000" width="7.42578125" style="279" customWidth="1"/>
    <col min="11001" max="11001" width="8" style="279" customWidth="1"/>
    <col min="11002" max="11002" width="9.140625" style="279"/>
    <col min="11003" max="11003" width="7.140625" style="279" customWidth="1"/>
    <col min="11004" max="11004" width="7.5703125" style="279" customWidth="1"/>
    <col min="11005" max="11005" width="8.85546875" style="279" customWidth="1"/>
    <col min="11006" max="11006" width="11.5703125" style="279" customWidth="1"/>
    <col min="11007" max="11007" width="9.140625" style="279"/>
    <col min="11008" max="11008" width="11.7109375" style="279" bestFit="1" customWidth="1"/>
    <col min="11009" max="11009" width="9.140625" style="279"/>
    <col min="11010" max="11011" width="11.7109375" style="279" bestFit="1" customWidth="1"/>
    <col min="11012" max="11252" width="9.140625" style="279"/>
    <col min="11253" max="11253" width="5.85546875" style="279" customWidth="1"/>
    <col min="11254" max="11254" width="10.5703125" style="279" customWidth="1"/>
    <col min="11255" max="11255" width="11.140625" style="279" customWidth="1"/>
    <col min="11256" max="11256" width="7.42578125" style="279" customWidth="1"/>
    <col min="11257" max="11257" width="8" style="279" customWidth="1"/>
    <col min="11258" max="11258" width="9.140625" style="279"/>
    <col min="11259" max="11259" width="7.140625" style="279" customWidth="1"/>
    <col min="11260" max="11260" width="7.5703125" style="279" customWidth="1"/>
    <col min="11261" max="11261" width="8.85546875" style="279" customWidth="1"/>
    <col min="11262" max="11262" width="11.5703125" style="279" customWidth="1"/>
    <col min="11263" max="11263" width="9.140625" style="279"/>
    <col min="11264" max="11264" width="11.7109375" style="279" bestFit="1" customWidth="1"/>
    <col min="11265" max="11265" width="9.140625" style="279"/>
    <col min="11266" max="11267" width="11.7109375" style="279" bestFit="1" customWidth="1"/>
    <col min="11268" max="11508" width="9.140625" style="279"/>
    <col min="11509" max="11509" width="5.85546875" style="279" customWidth="1"/>
    <col min="11510" max="11510" width="10.5703125" style="279" customWidth="1"/>
    <col min="11511" max="11511" width="11.140625" style="279" customWidth="1"/>
    <col min="11512" max="11512" width="7.42578125" style="279" customWidth="1"/>
    <col min="11513" max="11513" width="8" style="279" customWidth="1"/>
    <col min="11514" max="11514" width="9.140625" style="279"/>
    <col min="11515" max="11515" width="7.140625" style="279" customWidth="1"/>
    <col min="11516" max="11516" width="7.5703125" style="279" customWidth="1"/>
    <col min="11517" max="11517" width="8.85546875" style="279" customWidth="1"/>
    <col min="11518" max="11518" width="11.5703125" style="279" customWidth="1"/>
    <col min="11519" max="11519" width="9.140625" style="279"/>
    <col min="11520" max="11520" width="11.7109375" style="279" bestFit="1" customWidth="1"/>
    <col min="11521" max="11521" width="9.140625" style="279"/>
    <col min="11522" max="11523" width="11.7109375" style="279" bestFit="1" customWidth="1"/>
    <col min="11524" max="11764" width="9.140625" style="279"/>
    <col min="11765" max="11765" width="5.85546875" style="279" customWidth="1"/>
    <col min="11766" max="11766" width="10.5703125" style="279" customWidth="1"/>
    <col min="11767" max="11767" width="11.140625" style="279" customWidth="1"/>
    <col min="11768" max="11768" width="7.42578125" style="279" customWidth="1"/>
    <col min="11769" max="11769" width="8" style="279" customWidth="1"/>
    <col min="11770" max="11770" width="9.140625" style="279"/>
    <col min="11771" max="11771" width="7.140625" style="279" customWidth="1"/>
    <col min="11772" max="11772" width="7.5703125" style="279" customWidth="1"/>
    <col min="11773" max="11773" width="8.85546875" style="279" customWidth="1"/>
    <col min="11774" max="11774" width="11.5703125" style="279" customWidth="1"/>
    <col min="11775" max="11775" width="9.140625" style="279"/>
    <col min="11776" max="11776" width="11.7109375" style="279" bestFit="1" customWidth="1"/>
    <col min="11777" max="11777" width="9.140625" style="279"/>
    <col min="11778" max="11779" width="11.7109375" style="279" bestFit="1" customWidth="1"/>
    <col min="11780" max="12020" width="9.140625" style="279"/>
    <col min="12021" max="12021" width="5.85546875" style="279" customWidth="1"/>
    <col min="12022" max="12022" width="10.5703125" style="279" customWidth="1"/>
    <col min="12023" max="12023" width="11.140625" style="279" customWidth="1"/>
    <col min="12024" max="12024" width="7.42578125" style="279" customWidth="1"/>
    <col min="12025" max="12025" width="8" style="279" customWidth="1"/>
    <col min="12026" max="12026" width="9.140625" style="279"/>
    <col min="12027" max="12027" width="7.140625" style="279" customWidth="1"/>
    <col min="12028" max="12028" width="7.5703125" style="279" customWidth="1"/>
    <col min="12029" max="12029" width="8.85546875" style="279" customWidth="1"/>
    <col min="12030" max="12030" width="11.5703125" style="279" customWidth="1"/>
    <col min="12031" max="12031" width="9.140625" style="279"/>
    <col min="12032" max="12032" width="11.7109375" style="279" bestFit="1" customWidth="1"/>
    <col min="12033" max="12033" width="9.140625" style="279"/>
    <col min="12034" max="12035" width="11.7109375" style="279" bestFit="1" customWidth="1"/>
    <col min="12036" max="12276" width="9.140625" style="279"/>
    <col min="12277" max="12277" width="5.85546875" style="279" customWidth="1"/>
    <col min="12278" max="12278" width="10.5703125" style="279" customWidth="1"/>
    <col min="12279" max="12279" width="11.140625" style="279" customWidth="1"/>
    <col min="12280" max="12280" width="7.42578125" style="279" customWidth="1"/>
    <col min="12281" max="12281" width="8" style="279" customWidth="1"/>
    <col min="12282" max="12282" width="9.140625" style="279"/>
    <col min="12283" max="12283" width="7.140625" style="279" customWidth="1"/>
    <col min="12284" max="12284" width="7.5703125" style="279" customWidth="1"/>
    <col min="12285" max="12285" width="8.85546875" style="279" customWidth="1"/>
    <col min="12286" max="12286" width="11.5703125" style="279" customWidth="1"/>
    <col min="12287" max="12287" width="9.140625" style="279"/>
    <col min="12288" max="12288" width="11.7109375" style="279" bestFit="1" customWidth="1"/>
    <col min="12289" max="12289" width="9.140625" style="279"/>
    <col min="12290" max="12291" width="11.7109375" style="279" bestFit="1" customWidth="1"/>
    <col min="12292" max="12532" width="9.140625" style="279"/>
    <col min="12533" max="12533" width="5.85546875" style="279" customWidth="1"/>
    <col min="12534" max="12534" width="10.5703125" style="279" customWidth="1"/>
    <col min="12535" max="12535" width="11.140625" style="279" customWidth="1"/>
    <col min="12536" max="12536" width="7.42578125" style="279" customWidth="1"/>
    <col min="12537" max="12537" width="8" style="279" customWidth="1"/>
    <col min="12538" max="12538" width="9.140625" style="279"/>
    <col min="12539" max="12539" width="7.140625" style="279" customWidth="1"/>
    <col min="12540" max="12540" width="7.5703125" style="279" customWidth="1"/>
    <col min="12541" max="12541" width="8.85546875" style="279" customWidth="1"/>
    <col min="12542" max="12542" width="11.5703125" style="279" customWidth="1"/>
    <col min="12543" max="12543" width="9.140625" style="279"/>
    <col min="12544" max="12544" width="11.7109375" style="279" bestFit="1" customWidth="1"/>
    <col min="12545" max="12545" width="9.140625" style="279"/>
    <col min="12546" max="12547" width="11.7109375" style="279" bestFit="1" customWidth="1"/>
    <col min="12548" max="12788" width="9.140625" style="279"/>
    <col min="12789" max="12789" width="5.85546875" style="279" customWidth="1"/>
    <col min="12790" max="12790" width="10.5703125" style="279" customWidth="1"/>
    <col min="12791" max="12791" width="11.140625" style="279" customWidth="1"/>
    <col min="12792" max="12792" width="7.42578125" style="279" customWidth="1"/>
    <col min="12793" max="12793" width="8" style="279" customWidth="1"/>
    <col min="12794" max="12794" width="9.140625" style="279"/>
    <col min="12795" max="12795" width="7.140625" style="279" customWidth="1"/>
    <col min="12796" max="12796" width="7.5703125" style="279" customWidth="1"/>
    <col min="12797" max="12797" width="8.85546875" style="279" customWidth="1"/>
    <col min="12798" max="12798" width="11.5703125" style="279" customWidth="1"/>
    <col min="12799" max="12799" width="9.140625" style="279"/>
    <col min="12800" max="12800" width="11.7109375" style="279" bestFit="1" customWidth="1"/>
    <col min="12801" max="12801" width="9.140625" style="279"/>
    <col min="12802" max="12803" width="11.7109375" style="279" bestFit="1" customWidth="1"/>
    <col min="12804" max="13044" width="9.140625" style="279"/>
    <col min="13045" max="13045" width="5.85546875" style="279" customWidth="1"/>
    <col min="13046" max="13046" width="10.5703125" style="279" customWidth="1"/>
    <col min="13047" max="13047" width="11.140625" style="279" customWidth="1"/>
    <col min="13048" max="13048" width="7.42578125" style="279" customWidth="1"/>
    <col min="13049" max="13049" width="8" style="279" customWidth="1"/>
    <col min="13050" max="13050" width="9.140625" style="279"/>
    <col min="13051" max="13051" width="7.140625" style="279" customWidth="1"/>
    <col min="13052" max="13052" width="7.5703125" style="279" customWidth="1"/>
    <col min="13053" max="13053" width="8.85546875" style="279" customWidth="1"/>
    <col min="13054" max="13054" width="11.5703125" style="279" customWidth="1"/>
    <col min="13055" max="13055" width="9.140625" style="279"/>
    <col min="13056" max="13056" width="11.7109375" style="279" bestFit="1" customWidth="1"/>
    <col min="13057" max="13057" width="9.140625" style="279"/>
    <col min="13058" max="13059" width="11.7109375" style="279" bestFit="1" customWidth="1"/>
    <col min="13060" max="13300" width="9.140625" style="279"/>
    <col min="13301" max="13301" width="5.85546875" style="279" customWidth="1"/>
    <col min="13302" max="13302" width="10.5703125" style="279" customWidth="1"/>
    <col min="13303" max="13303" width="11.140625" style="279" customWidth="1"/>
    <col min="13304" max="13304" width="7.42578125" style="279" customWidth="1"/>
    <col min="13305" max="13305" width="8" style="279" customWidth="1"/>
    <col min="13306" max="13306" width="9.140625" style="279"/>
    <col min="13307" max="13307" width="7.140625" style="279" customWidth="1"/>
    <col min="13308" max="13308" width="7.5703125" style="279" customWidth="1"/>
    <col min="13309" max="13309" width="8.85546875" style="279" customWidth="1"/>
    <col min="13310" max="13310" width="11.5703125" style="279" customWidth="1"/>
    <col min="13311" max="13311" width="9.140625" style="279"/>
    <col min="13312" max="13312" width="11.7109375" style="279" bestFit="1" customWidth="1"/>
    <col min="13313" max="13313" width="9.140625" style="279"/>
    <col min="13314" max="13315" width="11.7109375" style="279" bestFit="1" customWidth="1"/>
    <col min="13316" max="13556" width="9.140625" style="279"/>
    <col min="13557" max="13557" width="5.85546875" style="279" customWidth="1"/>
    <col min="13558" max="13558" width="10.5703125" style="279" customWidth="1"/>
    <col min="13559" max="13559" width="11.140625" style="279" customWidth="1"/>
    <col min="13560" max="13560" width="7.42578125" style="279" customWidth="1"/>
    <col min="13561" max="13561" width="8" style="279" customWidth="1"/>
    <col min="13562" max="13562" width="9.140625" style="279"/>
    <col min="13563" max="13563" width="7.140625" style="279" customWidth="1"/>
    <col min="13564" max="13564" width="7.5703125" style="279" customWidth="1"/>
    <col min="13565" max="13565" width="8.85546875" style="279" customWidth="1"/>
    <col min="13566" max="13566" width="11.5703125" style="279" customWidth="1"/>
    <col min="13567" max="13567" width="9.140625" style="279"/>
    <col min="13568" max="13568" width="11.7109375" style="279" bestFit="1" customWidth="1"/>
    <col min="13569" max="13569" width="9.140625" style="279"/>
    <col min="13570" max="13571" width="11.7109375" style="279" bestFit="1" customWidth="1"/>
    <col min="13572" max="13812" width="9.140625" style="279"/>
    <col min="13813" max="13813" width="5.85546875" style="279" customWidth="1"/>
    <col min="13814" max="13814" width="10.5703125" style="279" customWidth="1"/>
    <col min="13815" max="13815" width="11.140625" style="279" customWidth="1"/>
    <col min="13816" max="13816" width="7.42578125" style="279" customWidth="1"/>
    <col min="13817" max="13817" width="8" style="279" customWidth="1"/>
    <col min="13818" max="13818" width="9.140625" style="279"/>
    <col min="13819" max="13819" width="7.140625" style="279" customWidth="1"/>
    <col min="13820" max="13820" width="7.5703125" style="279" customWidth="1"/>
    <col min="13821" max="13821" width="8.85546875" style="279" customWidth="1"/>
    <col min="13822" max="13822" width="11.5703125" style="279" customWidth="1"/>
    <col min="13823" max="13823" width="9.140625" style="279"/>
    <col min="13824" max="13824" width="11.7109375" style="279" bestFit="1" customWidth="1"/>
    <col min="13825" max="13825" width="9.140625" style="279"/>
    <col min="13826" max="13827" width="11.7109375" style="279" bestFit="1" customWidth="1"/>
    <col min="13828" max="14068" width="9.140625" style="279"/>
    <col min="14069" max="14069" width="5.85546875" style="279" customWidth="1"/>
    <col min="14070" max="14070" width="10.5703125" style="279" customWidth="1"/>
    <col min="14071" max="14071" width="11.140625" style="279" customWidth="1"/>
    <col min="14072" max="14072" width="7.42578125" style="279" customWidth="1"/>
    <col min="14073" max="14073" width="8" style="279" customWidth="1"/>
    <col min="14074" max="14074" width="9.140625" style="279"/>
    <col min="14075" max="14075" width="7.140625" style="279" customWidth="1"/>
    <col min="14076" max="14076" width="7.5703125" style="279" customWidth="1"/>
    <col min="14077" max="14077" width="8.85546875" style="279" customWidth="1"/>
    <col min="14078" max="14078" width="11.5703125" style="279" customWidth="1"/>
    <col min="14079" max="14079" width="9.140625" style="279"/>
    <col min="14080" max="14080" width="11.7109375" style="279" bestFit="1" customWidth="1"/>
    <col min="14081" max="14081" width="9.140625" style="279"/>
    <col min="14082" max="14083" width="11.7109375" style="279" bestFit="1" customWidth="1"/>
    <col min="14084" max="14324" width="9.140625" style="279"/>
    <col min="14325" max="14325" width="5.85546875" style="279" customWidth="1"/>
    <col min="14326" max="14326" width="10.5703125" style="279" customWidth="1"/>
    <col min="14327" max="14327" width="11.140625" style="279" customWidth="1"/>
    <col min="14328" max="14328" width="7.42578125" style="279" customWidth="1"/>
    <col min="14329" max="14329" width="8" style="279" customWidth="1"/>
    <col min="14330" max="14330" width="9.140625" style="279"/>
    <col min="14331" max="14331" width="7.140625" style="279" customWidth="1"/>
    <col min="14332" max="14332" width="7.5703125" style="279" customWidth="1"/>
    <col min="14333" max="14333" width="8.85546875" style="279" customWidth="1"/>
    <col min="14334" max="14334" width="11.5703125" style="279" customWidth="1"/>
    <col min="14335" max="14335" width="9.140625" style="279"/>
    <col min="14336" max="14336" width="11.7109375" style="279" bestFit="1" customWidth="1"/>
    <col min="14337" max="14337" width="9.140625" style="279"/>
    <col min="14338" max="14339" width="11.7109375" style="279" bestFit="1" customWidth="1"/>
    <col min="14340" max="14580" width="9.140625" style="279"/>
    <col min="14581" max="14581" width="5.85546875" style="279" customWidth="1"/>
    <col min="14582" max="14582" width="10.5703125" style="279" customWidth="1"/>
    <col min="14583" max="14583" width="11.140625" style="279" customWidth="1"/>
    <col min="14584" max="14584" width="7.42578125" style="279" customWidth="1"/>
    <col min="14585" max="14585" width="8" style="279" customWidth="1"/>
    <col min="14586" max="14586" width="9.140625" style="279"/>
    <col min="14587" max="14587" width="7.140625" style="279" customWidth="1"/>
    <col min="14588" max="14588" width="7.5703125" style="279" customWidth="1"/>
    <col min="14589" max="14589" width="8.85546875" style="279" customWidth="1"/>
    <col min="14590" max="14590" width="11.5703125" style="279" customWidth="1"/>
    <col min="14591" max="14591" width="9.140625" style="279"/>
    <col min="14592" max="14592" width="11.7109375" style="279" bestFit="1" customWidth="1"/>
    <col min="14593" max="14593" width="9.140625" style="279"/>
    <col min="14594" max="14595" width="11.7109375" style="279" bestFit="1" customWidth="1"/>
    <col min="14596" max="14836" width="9.140625" style="279"/>
    <col min="14837" max="14837" width="5.85546875" style="279" customWidth="1"/>
    <col min="14838" max="14838" width="10.5703125" style="279" customWidth="1"/>
    <col min="14839" max="14839" width="11.140625" style="279" customWidth="1"/>
    <col min="14840" max="14840" width="7.42578125" style="279" customWidth="1"/>
    <col min="14841" max="14841" width="8" style="279" customWidth="1"/>
    <col min="14842" max="14842" width="9.140625" style="279"/>
    <col min="14843" max="14843" width="7.140625" style="279" customWidth="1"/>
    <col min="14844" max="14844" width="7.5703125" style="279" customWidth="1"/>
    <col min="14845" max="14845" width="8.85546875" style="279" customWidth="1"/>
    <col min="14846" max="14846" width="11.5703125" style="279" customWidth="1"/>
    <col min="14847" max="14847" width="9.140625" style="279"/>
    <col min="14848" max="14848" width="11.7109375" style="279" bestFit="1" customWidth="1"/>
    <col min="14849" max="14849" width="9.140625" style="279"/>
    <col min="14850" max="14851" width="11.7109375" style="279" bestFit="1" customWidth="1"/>
    <col min="14852" max="15092" width="9.140625" style="279"/>
    <col min="15093" max="15093" width="5.85546875" style="279" customWidth="1"/>
    <col min="15094" max="15094" width="10.5703125" style="279" customWidth="1"/>
    <col min="15095" max="15095" width="11.140625" style="279" customWidth="1"/>
    <col min="15096" max="15096" width="7.42578125" style="279" customWidth="1"/>
    <col min="15097" max="15097" width="8" style="279" customWidth="1"/>
    <col min="15098" max="15098" width="9.140625" style="279"/>
    <col min="15099" max="15099" width="7.140625" style="279" customWidth="1"/>
    <col min="15100" max="15100" width="7.5703125" style="279" customWidth="1"/>
    <col min="15101" max="15101" width="8.85546875" style="279" customWidth="1"/>
    <col min="15102" max="15102" width="11.5703125" style="279" customWidth="1"/>
    <col min="15103" max="15103" width="9.140625" style="279"/>
    <col min="15104" max="15104" width="11.7109375" style="279" bestFit="1" customWidth="1"/>
    <col min="15105" max="15105" width="9.140625" style="279"/>
    <col min="15106" max="15107" width="11.7109375" style="279" bestFit="1" customWidth="1"/>
    <col min="15108" max="15348" width="9.140625" style="279"/>
    <col min="15349" max="15349" width="5.85546875" style="279" customWidth="1"/>
    <col min="15350" max="15350" width="10.5703125" style="279" customWidth="1"/>
    <col min="15351" max="15351" width="11.140625" style="279" customWidth="1"/>
    <col min="15352" max="15352" width="7.42578125" style="279" customWidth="1"/>
    <col min="15353" max="15353" width="8" style="279" customWidth="1"/>
    <col min="15354" max="15354" width="9.140625" style="279"/>
    <col min="15355" max="15355" width="7.140625" style="279" customWidth="1"/>
    <col min="15356" max="15356" width="7.5703125" style="279" customWidth="1"/>
    <col min="15357" max="15357" width="8.85546875" style="279" customWidth="1"/>
    <col min="15358" max="15358" width="11.5703125" style="279" customWidth="1"/>
    <col min="15359" max="15359" width="9.140625" style="279"/>
    <col min="15360" max="15360" width="11.7109375" style="279" bestFit="1" customWidth="1"/>
    <col min="15361" max="15361" width="9.140625" style="279"/>
    <col min="15362" max="15363" width="11.7109375" style="279" bestFit="1" customWidth="1"/>
    <col min="15364" max="15604" width="9.140625" style="279"/>
    <col min="15605" max="15605" width="5.85546875" style="279" customWidth="1"/>
    <col min="15606" max="15606" width="10.5703125" style="279" customWidth="1"/>
    <col min="15607" max="15607" width="11.140625" style="279" customWidth="1"/>
    <col min="15608" max="15608" width="7.42578125" style="279" customWidth="1"/>
    <col min="15609" max="15609" width="8" style="279" customWidth="1"/>
    <col min="15610" max="15610" width="9.140625" style="279"/>
    <col min="15611" max="15611" width="7.140625" style="279" customWidth="1"/>
    <col min="15612" max="15612" width="7.5703125" style="279" customWidth="1"/>
    <col min="15613" max="15613" width="8.85546875" style="279" customWidth="1"/>
    <col min="15614" max="15614" width="11.5703125" style="279" customWidth="1"/>
    <col min="15615" max="15615" width="9.140625" style="279"/>
    <col min="15616" max="15616" width="11.7109375" style="279" bestFit="1" customWidth="1"/>
    <col min="15617" max="15617" width="9.140625" style="279"/>
    <col min="15618" max="15619" width="11.7109375" style="279" bestFit="1" customWidth="1"/>
    <col min="15620" max="15860" width="9.140625" style="279"/>
    <col min="15861" max="15861" width="5.85546875" style="279" customWidth="1"/>
    <col min="15862" max="15862" width="10.5703125" style="279" customWidth="1"/>
    <col min="15863" max="15863" width="11.140625" style="279" customWidth="1"/>
    <col min="15864" max="15864" width="7.42578125" style="279" customWidth="1"/>
    <col min="15865" max="15865" width="8" style="279" customWidth="1"/>
    <col min="15866" max="15866" width="9.140625" style="279"/>
    <col min="15867" max="15867" width="7.140625" style="279" customWidth="1"/>
    <col min="15868" max="15868" width="7.5703125" style="279" customWidth="1"/>
    <col min="15869" max="15869" width="8.85546875" style="279" customWidth="1"/>
    <col min="15870" max="15870" width="11.5703125" style="279" customWidth="1"/>
    <col min="15871" max="15871" width="9.140625" style="279"/>
    <col min="15872" max="15872" width="11.7109375" style="279" bestFit="1" customWidth="1"/>
    <col min="15873" max="15873" width="9.140625" style="279"/>
    <col min="15874" max="15875" width="11.7109375" style="279" bestFit="1" customWidth="1"/>
    <col min="15876" max="16116" width="9.140625" style="279"/>
    <col min="16117" max="16117" width="5.85546875" style="279" customWidth="1"/>
    <col min="16118" max="16118" width="10.5703125" style="279" customWidth="1"/>
    <col min="16119" max="16119" width="11.140625" style="279" customWidth="1"/>
    <col min="16120" max="16120" width="7.42578125" style="279" customWidth="1"/>
    <col min="16121" max="16121" width="8" style="279" customWidth="1"/>
    <col min="16122" max="16122" width="9.140625" style="279"/>
    <col min="16123" max="16123" width="7.140625" style="279" customWidth="1"/>
    <col min="16124" max="16124" width="7.5703125" style="279" customWidth="1"/>
    <col min="16125" max="16125" width="8.85546875" style="279" customWidth="1"/>
    <col min="16126" max="16126" width="11.5703125" style="279" customWidth="1"/>
    <col min="16127" max="16127" width="9.140625" style="279"/>
    <col min="16128" max="16128" width="11.7109375" style="279" bestFit="1" customWidth="1"/>
    <col min="16129" max="16129" width="9.140625" style="279"/>
    <col min="16130" max="16131" width="11.7109375" style="279" bestFit="1" customWidth="1"/>
    <col min="16132" max="16384" width="9.140625" style="279"/>
  </cols>
  <sheetData>
    <row r="1" spans="1:13" x14ac:dyDescent="0.25">
      <c r="A1" s="1297" t="s">
        <v>202</v>
      </c>
      <c r="B1" s="1297"/>
      <c r="C1" s="1297"/>
      <c r="D1" s="1297"/>
      <c r="E1" s="1297"/>
      <c r="F1" s="1297"/>
      <c r="G1" s="1297"/>
      <c r="H1" s="1297"/>
    </row>
    <row r="3" spans="1:13" ht="15.75" x14ac:dyDescent="0.25">
      <c r="A3" s="1192" t="s">
        <v>384</v>
      </c>
      <c r="B3" s="1192"/>
      <c r="C3" s="1192"/>
      <c r="D3" s="1192"/>
      <c r="E3" s="1192"/>
      <c r="F3" s="1192"/>
      <c r="G3" s="1192"/>
      <c r="H3" s="1192"/>
    </row>
    <row r="4" spans="1:13" ht="15" customHeight="1" x14ac:dyDescent="0.25">
      <c r="A4" s="1144" t="str">
        <f>'СВОД смет'!A7:H7</f>
        <v>на 2020 год</v>
      </c>
      <c r="B4" s="1144"/>
      <c r="C4" s="1144"/>
      <c r="D4" s="1144"/>
      <c r="E4" s="1144"/>
      <c r="F4" s="1144"/>
      <c r="G4" s="1144"/>
      <c r="H4" s="1144"/>
    </row>
    <row r="5" spans="1:13" ht="15" customHeight="1" x14ac:dyDescent="0.25"/>
    <row r="6" spans="1:13" x14ac:dyDescent="0.25">
      <c r="A6" s="179"/>
      <c r="B6" s="179"/>
      <c r="C6" s="179"/>
      <c r="D6" s="179"/>
      <c r="E6" s="179"/>
      <c r="F6" s="179"/>
      <c r="G6" s="179"/>
      <c r="H6" s="179"/>
    </row>
    <row r="7" spans="1:13" ht="30" customHeight="1" x14ac:dyDescent="0.25">
      <c r="A7" s="1240" t="s">
        <v>864</v>
      </c>
      <c r="B7" s="1240"/>
      <c r="C7" s="1240"/>
      <c r="D7" s="1240"/>
      <c r="E7" s="1240"/>
      <c r="F7" s="1240"/>
      <c r="G7" s="1240"/>
      <c r="H7" s="1240"/>
      <c r="J7" s="157"/>
      <c r="K7" s="157"/>
      <c r="L7" s="157"/>
      <c r="M7" s="157"/>
    </row>
    <row r="8" spans="1:13" ht="24" x14ac:dyDescent="0.25">
      <c r="A8" s="193" t="s">
        <v>258</v>
      </c>
      <c r="B8" s="733" t="s">
        <v>492</v>
      </c>
      <c r="C8" s="193" t="s">
        <v>343</v>
      </c>
      <c r="D8" s="195" t="s">
        <v>389</v>
      </c>
      <c r="E8" s="427" t="s">
        <v>528</v>
      </c>
      <c r="F8" s="733" t="s">
        <v>529</v>
      </c>
      <c r="G8" s="195" t="s">
        <v>525</v>
      </c>
      <c r="H8" s="195" t="s">
        <v>402</v>
      </c>
    </row>
    <row r="9" spans="1:13" x14ac:dyDescent="0.25">
      <c r="A9" s="194">
        <v>1</v>
      </c>
      <c r="B9" s="732">
        <v>2</v>
      </c>
      <c r="C9" s="194">
        <v>3</v>
      </c>
      <c r="D9" s="194">
        <v>4</v>
      </c>
      <c r="E9" s="194">
        <v>5</v>
      </c>
      <c r="F9" s="732">
        <v>6</v>
      </c>
      <c r="G9" s="194">
        <v>7</v>
      </c>
      <c r="H9" s="194">
        <v>8</v>
      </c>
    </row>
    <row r="10" spans="1:13" ht="24.75" customHeight="1" x14ac:dyDescent="0.25">
      <c r="A10" s="170">
        <v>1</v>
      </c>
      <c r="B10" s="750" t="s">
        <v>537</v>
      </c>
      <c r="C10" s="219">
        <v>263</v>
      </c>
      <c r="D10" s="428" t="s">
        <v>368</v>
      </c>
      <c r="E10" s="432"/>
      <c r="F10" s="744">
        <f>SUM(F11:F19)</f>
        <v>240449.62</v>
      </c>
      <c r="G10" s="213">
        <v>12</v>
      </c>
      <c r="H10" s="217">
        <f t="shared" ref="H10:H19" si="0">ROUND(((G10*F10)/1000),1)</f>
        <v>2885.4</v>
      </c>
      <c r="I10" s="386"/>
    </row>
    <row r="11" spans="1:13" ht="15" customHeight="1" x14ac:dyDescent="0.25">
      <c r="A11" s="893" t="s">
        <v>526</v>
      </c>
      <c r="B11" s="734" t="s">
        <v>538</v>
      </c>
      <c r="C11" s="195">
        <v>263</v>
      </c>
      <c r="D11" s="428" t="s">
        <v>368</v>
      </c>
      <c r="E11" s="229">
        <v>30</v>
      </c>
      <c r="F11" s="744">
        <v>36091</v>
      </c>
      <c r="G11" s="193">
        <v>12</v>
      </c>
      <c r="H11" s="217">
        <f t="shared" si="0"/>
        <v>433.1</v>
      </c>
      <c r="I11" s="425"/>
      <c r="J11" s="636"/>
    </row>
    <row r="12" spans="1:13" x14ac:dyDescent="0.25">
      <c r="A12" s="893" t="s">
        <v>527</v>
      </c>
      <c r="B12" s="734" t="s">
        <v>539</v>
      </c>
      <c r="C12" s="195">
        <v>263</v>
      </c>
      <c r="D12" s="428" t="s">
        <v>368</v>
      </c>
      <c r="E12" s="229">
        <v>30</v>
      </c>
      <c r="F12" s="744">
        <v>40293.51</v>
      </c>
      <c r="G12" s="193">
        <v>12</v>
      </c>
      <c r="H12" s="217">
        <f t="shared" si="0"/>
        <v>483.5</v>
      </c>
      <c r="I12" s="425"/>
      <c r="J12" s="636"/>
    </row>
    <row r="13" spans="1:13" x14ac:dyDescent="0.25">
      <c r="A13" s="893" t="s">
        <v>530</v>
      </c>
      <c r="B13" s="734" t="s">
        <v>540</v>
      </c>
      <c r="C13" s="195">
        <v>263</v>
      </c>
      <c r="D13" s="428" t="s">
        <v>368</v>
      </c>
      <c r="E13" s="229">
        <v>45</v>
      </c>
      <c r="F13" s="744">
        <v>22799.8</v>
      </c>
      <c r="G13" s="193">
        <v>12</v>
      </c>
      <c r="H13" s="217">
        <f t="shared" si="0"/>
        <v>273.60000000000002</v>
      </c>
      <c r="I13" s="425"/>
      <c r="J13" s="636"/>
    </row>
    <row r="14" spans="1:13" x14ac:dyDescent="0.25">
      <c r="A14" s="893" t="s">
        <v>531</v>
      </c>
      <c r="B14" s="734" t="s">
        <v>541</v>
      </c>
      <c r="C14" s="195">
        <v>263</v>
      </c>
      <c r="D14" s="428" t="s">
        <v>368</v>
      </c>
      <c r="E14" s="229">
        <v>36</v>
      </c>
      <c r="F14" s="744">
        <v>23452.5</v>
      </c>
      <c r="G14" s="193">
        <v>12</v>
      </c>
      <c r="H14" s="217">
        <f t="shared" si="0"/>
        <v>281.39999999999998</v>
      </c>
      <c r="I14" s="425"/>
      <c r="J14" s="636"/>
    </row>
    <row r="15" spans="1:13" x14ac:dyDescent="0.25">
      <c r="A15" s="893" t="s">
        <v>532</v>
      </c>
      <c r="B15" s="734" t="s">
        <v>542</v>
      </c>
      <c r="C15" s="195">
        <v>263</v>
      </c>
      <c r="D15" s="428" t="s">
        <v>368</v>
      </c>
      <c r="E15" s="229">
        <v>30</v>
      </c>
      <c r="F15" s="744">
        <v>19543.75</v>
      </c>
      <c r="G15" s="193">
        <v>12</v>
      </c>
      <c r="H15" s="217">
        <f t="shared" si="0"/>
        <v>234.5</v>
      </c>
      <c r="I15" s="425"/>
      <c r="J15" s="636"/>
    </row>
    <row r="16" spans="1:13" x14ac:dyDescent="0.25">
      <c r="A16" s="893" t="s">
        <v>533</v>
      </c>
      <c r="B16" s="734" t="s">
        <v>543</v>
      </c>
      <c r="C16" s="195">
        <v>263</v>
      </c>
      <c r="D16" s="428" t="s">
        <v>368</v>
      </c>
      <c r="E16" s="229">
        <v>33</v>
      </c>
      <c r="F16" s="744">
        <v>16719.849999999999</v>
      </c>
      <c r="G16" s="193">
        <v>12</v>
      </c>
      <c r="H16" s="217">
        <f t="shared" si="0"/>
        <v>200.6</v>
      </c>
      <c r="I16" s="425"/>
      <c r="J16" s="636"/>
    </row>
    <row r="17" spans="1:10" x14ac:dyDescent="0.25">
      <c r="A17" s="893" t="s">
        <v>534</v>
      </c>
      <c r="B17" s="734" t="s">
        <v>544</v>
      </c>
      <c r="C17" s="195">
        <v>263</v>
      </c>
      <c r="D17" s="428" t="s">
        <v>368</v>
      </c>
      <c r="E17" s="229">
        <v>60</v>
      </c>
      <c r="F17" s="744">
        <v>26055.83</v>
      </c>
      <c r="G17" s="193">
        <v>12</v>
      </c>
      <c r="H17" s="217">
        <f t="shared" si="0"/>
        <v>312.7</v>
      </c>
      <c r="I17" s="425"/>
      <c r="J17" s="636"/>
    </row>
    <row r="18" spans="1:10" x14ac:dyDescent="0.25">
      <c r="A18" s="893" t="s">
        <v>535</v>
      </c>
      <c r="B18" s="734" t="s">
        <v>545</v>
      </c>
      <c r="C18" s="195">
        <v>263</v>
      </c>
      <c r="D18" s="428" t="s">
        <v>368</v>
      </c>
      <c r="E18" s="229">
        <v>30</v>
      </c>
      <c r="F18" s="744">
        <v>15199.87</v>
      </c>
      <c r="G18" s="193">
        <v>12</v>
      </c>
      <c r="H18" s="217">
        <f t="shared" si="0"/>
        <v>182.4</v>
      </c>
      <c r="I18" s="425"/>
      <c r="J18" s="636"/>
    </row>
    <row r="19" spans="1:10" x14ac:dyDescent="0.25">
      <c r="A19" s="893" t="s">
        <v>582</v>
      </c>
      <c r="B19" s="734" t="s">
        <v>583</v>
      </c>
      <c r="C19" s="491">
        <v>263</v>
      </c>
      <c r="D19" s="428" t="s">
        <v>368</v>
      </c>
      <c r="E19" s="229">
        <v>30</v>
      </c>
      <c r="F19" s="744">
        <v>40293.51</v>
      </c>
      <c r="G19" s="490">
        <v>12</v>
      </c>
      <c r="H19" s="217">
        <f t="shared" si="0"/>
        <v>483.5</v>
      </c>
      <c r="I19" s="425"/>
      <c r="J19" s="636"/>
    </row>
    <row r="20" spans="1:10" x14ac:dyDescent="0.25">
      <c r="A20" s="1157" t="s">
        <v>865</v>
      </c>
      <c r="B20" s="1158"/>
      <c r="C20" s="1158"/>
      <c r="D20" s="1158"/>
      <c r="E20" s="1158"/>
      <c r="F20" s="1158"/>
      <c r="G20" s="1171"/>
      <c r="H20" s="433">
        <f>H10</f>
        <v>2885.4</v>
      </c>
      <c r="J20" s="636"/>
    </row>
    <row r="23" spans="1:10" x14ac:dyDescent="0.25">
      <c r="A23" s="1298" t="s">
        <v>397</v>
      </c>
      <c r="B23" s="1298"/>
      <c r="C23" s="168"/>
      <c r="D23" s="1151"/>
      <c r="E23" s="1151"/>
      <c r="G23" s="1151" t="str">
        <f>рВДЛ!G32</f>
        <v>М.В. Златова</v>
      </c>
      <c r="H23" s="1151"/>
    </row>
    <row r="24" spans="1:10" x14ac:dyDescent="0.25">
      <c r="A24" s="1148" t="s">
        <v>329</v>
      </c>
      <c r="B24" s="1148"/>
      <c r="C24" s="169"/>
      <c r="D24" s="1149" t="s">
        <v>330</v>
      </c>
      <c r="E24" s="1149"/>
      <c r="G24" s="1149" t="s">
        <v>331</v>
      </c>
      <c r="H24" s="1149"/>
    </row>
    <row r="25" spans="1:10" x14ac:dyDescent="0.25">
      <c r="A25" s="1298" t="str">
        <f>[1]расчВДЛ!A25</f>
        <v>Исполнитель: финансист</v>
      </c>
      <c r="B25" s="1298"/>
      <c r="C25" s="168"/>
      <c r="D25" s="1151"/>
      <c r="E25" s="1151"/>
      <c r="G25" s="1151" t="str">
        <f>[1]расчВДЛ!H25</f>
        <v>Е.Н. Рыбалка</v>
      </c>
      <c r="H25" s="1151"/>
    </row>
    <row r="26" spans="1:10" x14ac:dyDescent="0.25">
      <c r="A26" s="1148" t="s">
        <v>329</v>
      </c>
      <c r="B26" s="1148"/>
      <c r="C26" s="169"/>
      <c r="D26" s="1149" t="s">
        <v>330</v>
      </c>
      <c r="E26" s="1149"/>
      <c r="G26" s="1149" t="s">
        <v>331</v>
      </c>
      <c r="H26" s="1149"/>
    </row>
  </sheetData>
  <mergeCells count="17">
    <mergeCell ref="A23:B23"/>
    <mergeCell ref="D23:E23"/>
    <mergeCell ref="G23:H23"/>
    <mergeCell ref="A26:B26"/>
    <mergeCell ref="D26:E26"/>
    <mergeCell ref="G26:H26"/>
    <mergeCell ref="A24:B24"/>
    <mergeCell ref="D24:E24"/>
    <mergeCell ref="G24:H24"/>
    <mergeCell ref="A25:B25"/>
    <mergeCell ref="D25:E25"/>
    <mergeCell ref="G25:H25"/>
    <mergeCell ref="A7:H7"/>
    <mergeCell ref="A1:H1"/>
    <mergeCell ref="A3:H3"/>
    <mergeCell ref="A4:H4"/>
    <mergeCell ref="A20:G20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9"/>
  <sheetViews>
    <sheetView showZeros="0" topLeftCell="A43" workbookViewId="0">
      <selection activeCell="K47" sqref="K47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3" width="9.140625" style="789"/>
    <col min="254" max="254" width="49.42578125" style="789" customWidth="1"/>
    <col min="255" max="256" width="3.5703125" style="789" customWidth="1"/>
    <col min="257" max="257" width="11.42578125" style="789" customWidth="1"/>
    <col min="258" max="260" width="5.7109375" style="789" customWidth="1"/>
    <col min="261" max="261" width="9" style="789" customWidth="1"/>
    <col min="262" max="262" width="18.7109375" style="789" customWidth="1"/>
    <col min="263" max="509" width="9.140625" style="789"/>
    <col min="510" max="510" width="49.42578125" style="789" customWidth="1"/>
    <col min="511" max="512" width="3.5703125" style="789" customWidth="1"/>
    <col min="513" max="513" width="11.42578125" style="789" customWidth="1"/>
    <col min="514" max="516" width="5.7109375" style="789" customWidth="1"/>
    <col min="517" max="517" width="9" style="789" customWidth="1"/>
    <col min="518" max="518" width="18.7109375" style="789" customWidth="1"/>
    <col min="519" max="765" width="9.140625" style="789"/>
    <col min="766" max="766" width="49.42578125" style="789" customWidth="1"/>
    <col min="767" max="768" width="3.5703125" style="789" customWidth="1"/>
    <col min="769" max="769" width="11.42578125" style="789" customWidth="1"/>
    <col min="770" max="772" width="5.7109375" style="789" customWidth="1"/>
    <col min="773" max="773" width="9" style="789" customWidth="1"/>
    <col min="774" max="774" width="18.7109375" style="789" customWidth="1"/>
    <col min="775" max="1021" width="9.140625" style="789"/>
    <col min="1022" max="1022" width="49.42578125" style="789" customWidth="1"/>
    <col min="1023" max="1024" width="3.5703125" style="789" customWidth="1"/>
    <col min="1025" max="1025" width="11.42578125" style="789" customWidth="1"/>
    <col min="1026" max="1028" width="5.7109375" style="789" customWidth="1"/>
    <col min="1029" max="1029" width="9" style="789" customWidth="1"/>
    <col min="1030" max="1030" width="18.7109375" style="789" customWidth="1"/>
    <col min="1031" max="1277" width="9.140625" style="789"/>
    <col min="1278" max="1278" width="49.42578125" style="789" customWidth="1"/>
    <col min="1279" max="1280" width="3.5703125" style="789" customWidth="1"/>
    <col min="1281" max="1281" width="11.42578125" style="789" customWidth="1"/>
    <col min="1282" max="1284" width="5.7109375" style="789" customWidth="1"/>
    <col min="1285" max="1285" width="9" style="789" customWidth="1"/>
    <col min="1286" max="1286" width="18.7109375" style="789" customWidth="1"/>
    <col min="1287" max="1533" width="9.140625" style="789"/>
    <col min="1534" max="1534" width="49.42578125" style="789" customWidth="1"/>
    <col min="1535" max="1536" width="3.5703125" style="789" customWidth="1"/>
    <col min="1537" max="1537" width="11.42578125" style="789" customWidth="1"/>
    <col min="1538" max="1540" width="5.7109375" style="789" customWidth="1"/>
    <col min="1541" max="1541" width="9" style="789" customWidth="1"/>
    <col min="1542" max="1542" width="18.7109375" style="789" customWidth="1"/>
    <col min="1543" max="1789" width="9.140625" style="789"/>
    <col min="1790" max="1790" width="49.42578125" style="789" customWidth="1"/>
    <col min="1791" max="1792" width="3.5703125" style="789" customWidth="1"/>
    <col min="1793" max="1793" width="11.42578125" style="789" customWidth="1"/>
    <col min="1794" max="1796" width="5.7109375" style="789" customWidth="1"/>
    <col min="1797" max="1797" width="9" style="789" customWidth="1"/>
    <col min="1798" max="1798" width="18.7109375" style="789" customWidth="1"/>
    <col min="1799" max="2045" width="9.140625" style="789"/>
    <col min="2046" max="2046" width="49.42578125" style="789" customWidth="1"/>
    <col min="2047" max="2048" width="3.5703125" style="789" customWidth="1"/>
    <col min="2049" max="2049" width="11.42578125" style="789" customWidth="1"/>
    <col min="2050" max="2052" width="5.7109375" style="789" customWidth="1"/>
    <col min="2053" max="2053" width="9" style="789" customWidth="1"/>
    <col min="2054" max="2054" width="18.7109375" style="789" customWidth="1"/>
    <col min="2055" max="2301" width="9.140625" style="789"/>
    <col min="2302" max="2302" width="49.42578125" style="789" customWidth="1"/>
    <col min="2303" max="2304" width="3.5703125" style="789" customWidth="1"/>
    <col min="2305" max="2305" width="11.42578125" style="789" customWidth="1"/>
    <col min="2306" max="2308" width="5.7109375" style="789" customWidth="1"/>
    <col min="2309" max="2309" width="9" style="789" customWidth="1"/>
    <col min="2310" max="2310" width="18.7109375" style="789" customWidth="1"/>
    <col min="2311" max="2557" width="9.140625" style="789"/>
    <col min="2558" max="2558" width="49.42578125" style="789" customWidth="1"/>
    <col min="2559" max="2560" width="3.5703125" style="789" customWidth="1"/>
    <col min="2561" max="2561" width="11.42578125" style="789" customWidth="1"/>
    <col min="2562" max="2564" width="5.7109375" style="789" customWidth="1"/>
    <col min="2565" max="2565" width="9" style="789" customWidth="1"/>
    <col min="2566" max="2566" width="18.7109375" style="789" customWidth="1"/>
    <col min="2567" max="2813" width="9.140625" style="789"/>
    <col min="2814" max="2814" width="49.42578125" style="789" customWidth="1"/>
    <col min="2815" max="2816" width="3.5703125" style="789" customWidth="1"/>
    <col min="2817" max="2817" width="11.42578125" style="789" customWidth="1"/>
    <col min="2818" max="2820" width="5.7109375" style="789" customWidth="1"/>
    <col min="2821" max="2821" width="9" style="789" customWidth="1"/>
    <col min="2822" max="2822" width="18.7109375" style="789" customWidth="1"/>
    <col min="2823" max="3069" width="9.140625" style="789"/>
    <col min="3070" max="3070" width="49.42578125" style="789" customWidth="1"/>
    <col min="3071" max="3072" width="3.5703125" style="789" customWidth="1"/>
    <col min="3073" max="3073" width="11.42578125" style="789" customWidth="1"/>
    <col min="3074" max="3076" width="5.7109375" style="789" customWidth="1"/>
    <col min="3077" max="3077" width="9" style="789" customWidth="1"/>
    <col min="3078" max="3078" width="18.7109375" style="789" customWidth="1"/>
    <col min="3079" max="3325" width="9.140625" style="789"/>
    <col min="3326" max="3326" width="49.42578125" style="789" customWidth="1"/>
    <col min="3327" max="3328" width="3.5703125" style="789" customWidth="1"/>
    <col min="3329" max="3329" width="11.42578125" style="789" customWidth="1"/>
    <col min="3330" max="3332" width="5.7109375" style="789" customWidth="1"/>
    <col min="3333" max="3333" width="9" style="789" customWidth="1"/>
    <col min="3334" max="3334" width="18.7109375" style="789" customWidth="1"/>
    <col min="3335" max="3581" width="9.140625" style="789"/>
    <col min="3582" max="3582" width="49.42578125" style="789" customWidth="1"/>
    <col min="3583" max="3584" width="3.5703125" style="789" customWidth="1"/>
    <col min="3585" max="3585" width="11.42578125" style="789" customWidth="1"/>
    <col min="3586" max="3588" width="5.7109375" style="789" customWidth="1"/>
    <col min="3589" max="3589" width="9" style="789" customWidth="1"/>
    <col min="3590" max="3590" width="18.7109375" style="789" customWidth="1"/>
    <col min="3591" max="3837" width="9.140625" style="789"/>
    <col min="3838" max="3838" width="49.42578125" style="789" customWidth="1"/>
    <col min="3839" max="3840" width="3.5703125" style="789" customWidth="1"/>
    <col min="3841" max="3841" width="11.42578125" style="789" customWidth="1"/>
    <col min="3842" max="3844" width="5.7109375" style="789" customWidth="1"/>
    <col min="3845" max="3845" width="9" style="789" customWidth="1"/>
    <col min="3846" max="3846" width="18.7109375" style="789" customWidth="1"/>
    <col min="3847" max="4093" width="9.140625" style="789"/>
    <col min="4094" max="4094" width="49.42578125" style="789" customWidth="1"/>
    <col min="4095" max="4096" width="3.5703125" style="789" customWidth="1"/>
    <col min="4097" max="4097" width="11.42578125" style="789" customWidth="1"/>
    <col min="4098" max="4100" width="5.7109375" style="789" customWidth="1"/>
    <col min="4101" max="4101" width="9" style="789" customWidth="1"/>
    <col min="4102" max="4102" width="18.7109375" style="789" customWidth="1"/>
    <col min="4103" max="4349" width="9.140625" style="789"/>
    <col min="4350" max="4350" width="49.42578125" style="789" customWidth="1"/>
    <col min="4351" max="4352" width="3.5703125" style="789" customWidth="1"/>
    <col min="4353" max="4353" width="11.42578125" style="789" customWidth="1"/>
    <col min="4354" max="4356" width="5.7109375" style="789" customWidth="1"/>
    <col min="4357" max="4357" width="9" style="789" customWidth="1"/>
    <col min="4358" max="4358" width="18.7109375" style="789" customWidth="1"/>
    <col min="4359" max="4605" width="9.140625" style="789"/>
    <col min="4606" max="4606" width="49.42578125" style="789" customWidth="1"/>
    <col min="4607" max="4608" width="3.5703125" style="789" customWidth="1"/>
    <col min="4609" max="4609" width="11.42578125" style="789" customWidth="1"/>
    <col min="4610" max="4612" width="5.7109375" style="789" customWidth="1"/>
    <col min="4613" max="4613" width="9" style="789" customWidth="1"/>
    <col min="4614" max="4614" width="18.7109375" style="789" customWidth="1"/>
    <col min="4615" max="4861" width="9.140625" style="789"/>
    <col min="4862" max="4862" width="49.42578125" style="789" customWidth="1"/>
    <col min="4863" max="4864" width="3.5703125" style="789" customWidth="1"/>
    <col min="4865" max="4865" width="11.42578125" style="789" customWidth="1"/>
    <col min="4866" max="4868" width="5.7109375" style="789" customWidth="1"/>
    <col min="4869" max="4869" width="9" style="789" customWidth="1"/>
    <col min="4870" max="4870" width="18.7109375" style="789" customWidth="1"/>
    <col min="4871" max="5117" width="9.140625" style="789"/>
    <col min="5118" max="5118" width="49.42578125" style="789" customWidth="1"/>
    <col min="5119" max="5120" width="3.5703125" style="789" customWidth="1"/>
    <col min="5121" max="5121" width="11.42578125" style="789" customWidth="1"/>
    <col min="5122" max="5124" width="5.7109375" style="789" customWidth="1"/>
    <col min="5125" max="5125" width="9" style="789" customWidth="1"/>
    <col min="5126" max="5126" width="18.7109375" style="789" customWidth="1"/>
    <col min="5127" max="5373" width="9.140625" style="789"/>
    <col min="5374" max="5374" width="49.42578125" style="789" customWidth="1"/>
    <col min="5375" max="5376" width="3.5703125" style="789" customWidth="1"/>
    <col min="5377" max="5377" width="11.42578125" style="789" customWidth="1"/>
    <col min="5378" max="5380" width="5.7109375" style="789" customWidth="1"/>
    <col min="5381" max="5381" width="9" style="789" customWidth="1"/>
    <col min="5382" max="5382" width="18.7109375" style="789" customWidth="1"/>
    <col min="5383" max="5629" width="9.140625" style="789"/>
    <col min="5630" max="5630" width="49.42578125" style="789" customWidth="1"/>
    <col min="5631" max="5632" width="3.5703125" style="789" customWidth="1"/>
    <col min="5633" max="5633" width="11.42578125" style="789" customWidth="1"/>
    <col min="5634" max="5636" width="5.7109375" style="789" customWidth="1"/>
    <col min="5637" max="5637" width="9" style="789" customWidth="1"/>
    <col min="5638" max="5638" width="18.7109375" style="789" customWidth="1"/>
    <col min="5639" max="5885" width="9.140625" style="789"/>
    <col min="5886" max="5886" width="49.42578125" style="789" customWidth="1"/>
    <col min="5887" max="5888" width="3.5703125" style="789" customWidth="1"/>
    <col min="5889" max="5889" width="11.42578125" style="789" customWidth="1"/>
    <col min="5890" max="5892" width="5.7109375" style="789" customWidth="1"/>
    <col min="5893" max="5893" width="9" style="789" customWidth="1"/>
    <col min="5894" max="5894" width="18.7109375" style="789" customWidth="1"/>
    <col min="5895" max="6141" width="9.140625" style="789"/>
    <col min="6142" max="6142" width="49.42578125" style="789" customWidth="1"/>
    <col min="6143" max="6144" width="3.5703125" style="789" customWidth="1"/>
    <col min="6145" max="6145" width="11.42578125" style="789" customWidth="1"/>
    <col min="6146" max="6148" width="5.7109375" style="789" customWidth="1"/>
    <col min="6149" max="6149" width="9" style="789" customWidth="1"/>
    <col min="6150" max="6150" width="18.7109375" style="789" customWidth="1"/>
    <col min="6151" max="6397" width="9.140625" style="789"/>
    <col min="6398" max="6398" width="49.42578125" style="789" customWidth="1"/>
    <col min="6399" max="6400" width="3.5703125" style="789" customWidth="1"/>
    <col min="6401" max="6401" width="11.42578125" style="789" customWidth="1"/>
    <col min="6402" max="6404" width="5.7109375" style="789" customWidth="1"/>
    <col min="6405" max="6405" width="9" style="789" customWidth="1"/>
    <col min="6406" max="6406" width="18.7109375" style="789" customWidth="1"/>
    <col min="6407" max="6653" width="9.140625" style="789"/>
    <col min="6654" max="6654" width="49.42578125" style="789" customWidth="1"/>
    <col min="6655" max="6656" width="3.5703125" style="789" customWidth="1"/>
    <col min="6657" max="6657" width="11.42578125" style="789" customWidth="1"/>
    <col min="6658" max="6660" width="5.7109375" style="789" customWidth="1"/>
    <col min="6661" max="6661" width="9" style="789" customWidth="1"/>
    <col min="6662" max="6662" width="18.7109375" style="789" customWidth="1"/>
    <col min="6663" max="6909" width="9.140625" style="789"/>
    <col min="6910" max="6910" width="49.42578125" style="789" customWidth="1"/>
    <col min="6911" max="6912" width="3.5703125" style="789" customWidth="1"/>
    <col min="6913" max="6913" width="11.42578125" style="789" customWidth="1"/>
    <col min="6914" max="6916" width="5.7109375" style="789" customWidth="1"/>
    <col min="6917" max="6917" width="9" style="789" customWidth="1"/>
    <col min="6918" max="6918" width="18.7109375" style="789" customWidth="1"/>
    <col min="6919" max="7165" width="9.140625" style="789"/>
    <col min="7166" max="7166" width="49.42578125" style="789" customWidth="1"/>
    <col min="7167" max="7168" width="3.5703125" style="789" customWidth="1"/>
    <col min="7169" max="7169" width="11.42578125" style="789" customWidth="1"/>
    <col min="7170" max="7172" width="5.7109375" style="789" customWidth="1"/>
    <col min="7173" max="7173" width="9" style="789" customWidth="1"/>
    <col min="7174" max="7174" width="18.7109375" style="789" customWidth="1"/>
    <col min="7175" max="7421" width="9.140625" style="789"/>
    <col min="7422" max="7422" width="49.42578125" style="789" customWidth="1"/>
    <col min="7423" max="7424" width="3.5703125" style="789" customWidth="1"/>
    <col min="7425" max="7425" width="11.42578125" style="789" customWidth="1"/>
    <col min="7426" max="7428" width="5.7109375" style="789" customWidth="1"/>
    <col min="7429" max="7429" width="9" style="789" customWidth="1"/>
    <col min="7430" max="7430" width="18.7109375" style="789" customWidth="1"/>
    <col min="7431" max="7677" width="9.140625" style="789"/>
    <col min="7678" max="7678" width="49.42578125" style="789" customWidth="1"/>
    <col min="7679" max="7680" width="3.5703125" style="789" customWidth="1"/>
    <col min="7681" max="7681" width="11.42578125" style="789" customWidth="1"/>
    <col min="7682" max="7684" width="5.7109375" style="789" customWidth="1"/>
    <col min="7685" max="7685" width="9" style="789" customWidth="1"/>
    <col min="7686" max="7686" width="18.7109375" style="789" customWidth="1"/>
    <col min="7687" max="7933" width="9.140625" style="789"/>
    <col min="7934" max="7934" width="49.42578125" style="789" customWidth="1"/>
    <col min="7935" max="7936" width="3.5703125" style="789" customWidth="1"/>
    <col min="7937" max="7937" width="11.42578125" style="789" customWidth="1"/>
    <col min="7938" max="7940" width="5.7109375" style="789" customWidth="1"/>
    <col min="7941" max="7941" width="9" style="789" customWidth="1"/>
    <col min="7942" max="7942" width="18.7109375" style="789" customWidth="1"/>
    <col min="7943" max="8189" width="9.140625" style="789"/>
    <col min="8190" max="8190" width="49.42578125" style="789" customWidth="1"/>
    <col min="8191" max="8192" width="3.5703125" style="789" customWidth="1"/>
    <col min="8193" max="8193" width="11.42578125" style="789" customWidth="1"/>
    <col min="8194" max="8196" width="5.7109375" style="789" customWidth="1"/>
    <col min="8197" max="8197" width="9" style="789" customWidth="1"/>
    <col min="8198" max="8198" width="18.7109375" style="789" customWidth="1"/>
    <col min="8199" max="8445" width="9.140625" style="789"/>
    <col min="8446" max="8446" width="49.42578125" style="789" customWidth="1"/>
    <col min="8447" max="8448" width="3.5703125" style="789" customWidth="1"/>
    <col min="8449" max="8449" width="11.42578125" style="789" customWidth="1"/>
    <col min="8450" max="8452" width="5.7109375" style="789" customWidth="1"/>
    <col min="8453" max="8453" width="9" style="789" customWidth="1"/>
    <col min="8454" max="8454" width="18.7109375" style="789" customWidth="1"/>
    <col min="8455" max="8701" width="9.140625" style="789"/>
    <col min="8702" max="8702" width="49.42578125" style="789" customWidth="1"/>
    <col min="8703" max="8704" width="3.5703125" style="789" customWidth="1"/>
    <col min="8705" max="8705" width="11.42578125" style="789" customWidth="1"/>
    <col min="8706" max="8708" width="5.7109375" style="789" customWidth="1"/>
    <col min="8709" max="8709" width="9" style="789" customWidth="1"/>
    <col min="8710" max="8710" width="18.7109375" style="789" customWidth="1"/>
    <col min="8711" max="8957" width="9.140625" style="789"/>
    <col min="8958" max="8958" width="49.42578125" style="789" customWidth="1"/>
    <col min="8959" max="8960" width="3.5703125" style="789" customWidth="1"/>
    <col min="8961" max="8961" width="11.42578125" style="789" customWidth="1"/>
    <col min="8962" max="8964" width="5.7109375" style="789" customWidth="1"/>
    <col min="8965" max="8965" width="9" style="789" customWidth="1"/>
    <col min="8966" max="8966" width="18.7109375" style="789" customWidth="1"/>
    <col min="8967" max="9213" width="9.140625" style="789"/>
    <col min="9214" max="9214" width="49.42578125" style="789" customWidth="1"/>
    <col min="9215" max="9216" width="3.5703125" style="789" customWidth="1"/>
    <col min="9217" max="9217" width="11.42578125" style="789" customWidth="1"/>
    <col min="9218" max="9220" width="5.7109375" style="789" customWidth="1"/>
    <col min="9221" max="9221" width="9" style="789" customWidth="1"/>
    <col min="9222" max="9222" width="18.7109375" style="789" customWidth="1"/>
    <col min="9223" max="9469" width="9.140625" style="789"/>
    <col min="9470" max="9470" width="49.42578125" style="789" customWidth="1"/>
    <col min="9471" max="9472" width="3.5703125" style="789" customWidth="1"/>
    <col min="9473" max="9473" width="11.42578125" style="789" customWidth="1"/>
    <col min="9474" max="9476" width="5.7109375" style="789" customWidth="1"/>
    <col min="9477" max="9477" width="9" style="789" customWidth="1"/>
    <col min="9478" max="9478" width="18.7109375" style="789" customWidth="1"/>
    <col min="9479" max="9725" width="9.140625" style="789"/>
    <col min="9726" max="9726" width="49.42578125" style="789" customWidth="1"/>
    <col min="9727" max="9728" width="3.5703125" style="789" customWidth="1"/>
    <col min="9729" max="9729" width="11.42578125" style="789" customWidth="1"/>
    <col min="9730" max="9732" width="5.7109375" style="789" customWidth="1"/>
    <col min="9733" max="9733" width="9" style="789" customWidth="1"/>
    <col min="9734" max="9734" width="18.7109375" style="789" customWidth="1"/>
    <col min="9735" max="9981" width="9.140625" style="789"/>
    <col min="9982" max="9982" width="49.42578125" style="789" customWidth="1"/>
    <col min="9983" max="9984" width="3.5703125" style="789" customWidth="1"/>
    <col min="9985" max="9985" width="11.42578125" style="789" customWidth="1"/>
    <col min="9986" max="9988" width="5.7109375" style="789" customWidth="1"/>
    <col min="9989" max="9989" width="9" style="789" customWidth="1"/>
    <col min="9990" max="9990" width="18.7109375" style="789" customWidth="1"/>
    <col min="9991" max="10237" width="9.140625" style="789"/>
    <col min="10238" max="10238" width="49.42578125" style="789" customWidth="1"/>
    <col min="10239" max="10240" width="3.5703125" style="789" customWidth="1"/>
    <col min="10241" max="10241" width="11.42578125" style="789" customWidth="1"/>
    <col min="10242" max="10244" width="5.7109375" style="789" customWidth="1"/>
    <col min="10245" max="10245" width="9" style="789" customWidth="1"/>
    <col min="10246" max="10246" width="18.7109375" style="789" customWidth="1"/>
    <col min="10247" max="10493" width="9.140625" style="789"/>
    <col min="10494" max="10494" width="49.42578125" style="789" customWidth="1"/>
    <col min="10495" max="10496" width="3.5703125" style="789" customWidth="1"/>
    <col min="10497" max="10497" width="11.42578125" style="789" customWidth="1"/>
    <col min="10498" max="10500" width="5.7109375" style="789" customWidth="1"/>
    <col min="10501" max="10501" width="9" style="789" customWidth="1"/>
    <col min="10502" max="10502" width="18.7109375" style="789" customWidth="1"/>
    <col min="10503" max="10749" width="9.140625" style="789"/>
    <col min="10750" max="10750" width="49.42578125" style="789" customWidth="1"/>
    <col min="10751" max="10752" width="3.5703125" style="789" customWidth="1"/>
    <col min="10753" max="10753" width="11.42578125" style="789" customWidth="1"/>
    <col min="10754" max="10756" width="5.7109375" style="789" customWidth="1"/>
    <col min="10757" max="10757" width="9" style="789" customWidth="1"/>
    <col min="10758" max="10758" width="18.7109375" style="789" customWidth="1"/>
    <col min="10759" max="11005" width="9.140625" style="789"/>
    <col min="11006" max="11006" width="49.42578125" style="789" customWidth="1"/>
    <col min="11007" max="11008" width="3.5703125" style="789" customWidth="1"/>
    <col min="11009" max="11009" width="11.42578125" style="789" customWidth="1"/>
    <col min="11010" max="11012" width="5.7109375" style="789" customWidth="1"/>
    <col min="11013" max="11013" width="9" style="789" customWidth="1"/>
    <col min="11014" max="11014" width="18.7109375" style="789" customWidth="1"/>
    <col min="11015" max="11261" width="9.140625" style="789"/>
    <col min="11262" max="11262" width="49.42578125" style="789" customWidth="1"/>
    <col min="11263" max="11264" width="3.5703125" style="789" customWidth="1"/>
    <col min="11265" max="11265" width="11.42578125" style="789" customWidth="1"/>
    <col min="11266" max="11268" width="5.7109375" style="789" customWidth="1"/>
    <col min="11269" max="11269" width="9" style="789" customWidth="1"/>
    <col min="11270" max="11270" width="18.7109375" style="789" customWidth="1"/>
    <col min="11271" max="11517" width="9.140625" style="789"/>
    <col min="11518" max="11518" width="49.42578125" style="789" customWidth="1"/>
    <col min="11519" max="11520" width="3.5703125" style="789" customWidth="1"/>
    <col min="11521" max="11521" width="11.42578125" style="789" customWidth="1"/>
    <col min="11522" max="11524" width="5.7109375" style="789" customWidth="1"/>
    <col min="11525" max="11525" width="9" style="789" customWidth="1"/>
    <col min="11526" max="11526" width="18.7109375" style="789" customWidth="1"/>
    <col min="11527" max="11773" width="9.140625" style="789"/>
    <col min="11774" max="11774" width="49.42578125" style="789" customWidth="1"/>
    <col min="11775" max="11776" width="3.5703125" style="789" customWidth="1"/>
    <col min="11777" max="11777" width="11.42578125" style="789" customWidth="1"/>
    <col min="11778" max="11780" width="5.7109375" style="789" customWidth="1"/>
    <col min="11781" max="11781" width="9" style="789" customWidth="1"/>
    <col min="11782" max="11782" width="18.7109375" style="789" customWidth="1"/>
    <col min="11783" max="12029" width="9.140625" style="789"/>
    <col min="12030" max="12030" width="49.42578125" style="789" customWidth="1"/>
    <col min="12031" max="12032" width="3.5703125" style="789" customWidth="1"/>
    <col min="12033" max="12033" width="11.42578125" style="789" customWidth="1"/>
    <col min="12034" max="12036" width="5.7109375" style="789" customWidth="1"/>
    <col min="12037" max="12037" width="9" style="789" customWidth="1"/>
    <col min="12038" max="12038" width="18.7109375" style="789" customWidth="1"/>
    <col min="12039" max="12285" width="9.140625" style="789"/>
    <col min="12286" max="12286" width="49.42578125" style="789" customWidth="1"/>
    <col min="12287" max="12288" width="3.5703125" style="789" customWidth="1"/>
    <col min="12289" max="12289" width="11.42578125" style="789" customWidth="1"/>
    <col min="12290" max="12292" width="5.7109375" style="789" customWidth="1"/>
    <col min="12293" max="12293" width="9" style="789" customWidth="1"/>
    <col min="12294" max="12294" width="18.7109375" style="789" customWidth="1"/>
    <col min="12295" max="12541" width="9.140625" style="789"/>
    <col min="12542" max="12542" width="49.42578125" style="789" customWidth="1"/>
    <col min="12543" max="12544" width="3.5703125" style="789" customWidth="1"/>
    <col min="12545" max="12545" width="11.42578125" style="789" customWidth="1"/>
    <col min="12546" max="12548" width="5.7109375" style="789" customWidth="1"/>
    <col min="12549" max="12549" width="9" style="789" customWidth="1"/>
    <col min="12550" max="12550" width="18.7109375" style="789" customWidth="1"/>
    <col min="12551" max="12797" width="9.140625" style="789"/>
    <col min="12798" max="12798" width="49.42578125" style="789" customWidth="1"/>
    <col min="12799" max="12800" width="3.5703125" style="789" customWidth="1"/>
    <col min="12801" max="12801" width="11.42578125" style="789" customWidth="1"/>
    <col min="12802" max="12804" width="5.7109375" style="789" customWidth="1"/>
    <col min="12805" max="12805" width="9" style="789" customWidth="1"/>
    <col min="12806" max="12806" width="18.7109375" style="789" customWidth="1"/>
    <col min="12807" max="13053" width="9.140625" style="789"/>
    <col min="13054" max="13054" width="49.42578125" style="789" customWidth="1"/>
    <col min="13055" max="13056" width="3.5703125" style="789" customWidth="1"/>
    <col min="13057" max="13057" width="11.42578125" style="789" customWidth="1"/>
    <col min="13058" max="13060" width="5.7109375" style="789" customWidth="1"/>
    <col min="13061" max="13061" width="9" style="789" customWidth="1"/>
    <col min="13062" max="13062" width="18.7109375" style="789" customWidth="1"/>
    <col min="13063" max="13309" width="9.140625" style="789"/>
    <col min="13310" max="13310" width="49.42578125" style="789" customWidth="1"/>
    <col min="13311" max="13312" width="3.5703125" style="789" customWidth="1"/>
    <col min="13313" max="13313" width="11.42578125" style="789" customWidth="1"/>
    <col min="13314" max="13316" width="5.7109375" style="789" customWidth="1"/>
    <col min="13317" max="13317" width="9" style="789" customWidth="1"/>
    <col min="13318" max="13318" width="18.7109375" style="789" customWidth="1"/>
    <col min="13319" max="13565" width="9.140625" style="789"/>
    <col min="13566" max="13566" width="49.42578125" style="789" customWidth="1"/>
    <col min="13567" max="13568" width="3.5703125" style="789" customWidth="1"/>
    <col min="13569" max="13569" width="11.42578125" style="789" customWidth="1"/>
    <col min="13570" max="13572" width="5.7109375" style="789" customWidth="1"/>
    <col min="13573" max="13573" width="9" style="789" customWidth="1"/>
    <col min="13574" max="13574" width="18.7109375" style="789" customWidth="1"/>
    <col min="13575" max="13821" width="9.140625" style="789"/>
    <col min="13822" max="13822" width="49.42578125" style="789" customWidth="1"/>
    <col min="13823" max="13824" width="3.5703125" style="789" customWidth="1"/>
    <col min="13825" max="13825" width="11.42578125" style="789" customWidth="1"/>
    <col min="13826" max="13828" width="5.7109375" style="789" customWidth="1"/>
    <col min="13829" max="13829" width="9" style="789" customWidth="1"/>
    <col min="13830" max="13830" width="18.7109375" style="789" customWidth="1"/>
    <col min="13831" max="14077" width="9.140625" style="789"/>
    <col min="14078" max="14078" width="49.42578125" style="789" customWidth="1"/>
    <col min="14079" max="14080" width="3.5703125" style="789" customWidth="1"/>
    <col min="14081" max="14081" width="11.42578125" style="789" customWidth="1"/>
    <col min="14082" max="14084" width="5.7109375" style="789" customWidth="1"/>
    <col min="14085" max="14085" width="9" style="789" customWidth="1"/>
    <col min="14086" max="14086" width="18.7109375" style="789" customWidth="1"/>
    <col min="14087" max="14333" width="9.140625" style="789"/>
    <col min="14334" max="14334" width="49.42578125" style="789" customWidth="1"/>
    <col min="14335" max="14336" width="3.5703125" style="789" customWidth="1"/>
    <col min="14337" max="14337" width="11.42578125" style="789" customWidth="1"/>
    <col min="14338" max="14340" width="5.7109375" style="789" customWidth="1"/>
    <col min="14341" max="14341" width="9" style="789" customWidth="1"/>
    <col min="14342" max="14342" width="18.7109375" style="789" customWidth="1"/>
    <col min="14343" max="14589" width="9.140625" style="789"/>
    <col min="14590" max="14590" width="49.42578125" style="789" customWidth="1"/>
    <col min="14591" max="14592" width="3.5703125" style="789" customWidth="1"/>
    <col min="14593" max="14593" width="11.42578125" style="789" customWidth="1"/>
    <col min="14594" max="14596" width="5.7109375" style="789" customWidth="1"/>
    <col min="14597" max="14597" width="9" style="789" customWidth="1"/>
    <col min="14598" max="14598" width="18.7109375" style="789" customWidth="1"/>
    <col min="14599" max="14845" width="9.140625" style="789"/>
    <col min="14846" max="14846" width="49.42578125" style="789" customWidth="1"/>
    <col min="14847" max="14848" width="3.5703125" style="789" customWidth="1"/>
    <col min="14849" max="14849" width="11.42578125" style="789" customWidth="1"/>
    <col min="14850" max="14852" width="5.7109375" style="789" customWidth="1"/>
    <col min="14853" max="14853" width="9" style="789" customWidth="1"/>
    <col min="14854" max="14854" width="18.7109375" style="789" customWidth="1"/>
    <col min="14855" max="15101" width="9.140625" style="789"/>
    <col min="15102" max="15102" width="49.42578125" style="789" customWidth="1"/>
    <col min="15103" max="15104" width="3.5703125" style="789" customWidth="1"/>
    <col min="15105" max="15105" width="11.42578125" style="789" customWidth="1"/>
    <col min="15106" max="15108" width="5.7109375" style="789" customWidth="1"/>
    <col min="15109" max="15109" width="9" style="789" customWidth="1"/>
    <col min="15110" max="15110" width="18.7109375" style="789" customWidth="1"/>
    <col min="15111" max="15357" width="9.140625" style="789"/>
    <col min="15358" max="15358" width="49.42578125" style="789" customWidth="1"/>
    <col min="15359" max="15360" width="3.5703125" style="789" customWidth="1"/>
    <col min="15361" max="15361" width="11.42578125" style="789" customWidth="1"/>
    <col min="15362" max="15364" width="5.7109375" style="789" customWidth="1"/>
    <col min="15365" max="15365" width="9" style="789" customWidth="1"/>
    <col min="15366" max="15366" width="18.7109375" style="789" customWidth="1"/>
    <col min="15367" max="15613" width="9.140625" style="789"/>
    <col min="15614" max="15614" width="49.42578125" style="789" customWidth="1"/>
    <col min="15615" max="15616" width="3.5703125" style="789" customWidth="1"/>
    <col min="15617" max="15617" width="11.42578125" style="789" customWidth="1"/>
    <col min="15618" max="15620" width="5.7109375" style="789" customWidth="1"/>
    <col min="15621" max="15621" width="9" style="789" customWidth="1"/>
    <col min="15622" max="15622" width="18.7109375" style="789" customWidth="1"/>
    <col min="15623" max="15869" width="9.140625" style="789"/>
    <col min="15870" max="15870" width="49.42578125" style="789" customWidth="1"/>
    <col min="15871" max="15872" width="3.5703125" style="789" customWidth="1"/>
    <col min="15873" max="15873" width="11.42578125" style="789" customWidth="1"/>
    <col min="15874" max="15876" width="5.7109375" style="789" customWidth="1"/>
    <col min="15877" max="15877" width="9" style="789" customWidth="1"/>
    <col min="15878" max="15878" width="18.7109375" style="789" customWidth="1"/>
    <col min="15879" max="16125" width="9.140625" style="789"/>
    <col min="16126" max="16126" width="49.42578125" style="789" customWidth="1"/>
    <col min="16127" max="16128" width="3.5703125" style="789" customWidth="1"/>
    <col min="16129" max="16129" width="11.42578125" style="789" customWidth="1"/>
    <col min="16130" max="16132" width="5.7109375" style="789" customWidth="1"/>
    <col min="16133" max="16133" width="9" style="789" customWidth="1"/>
    <col min="16134" max="16134" width="18.7109375" style="789" customWidth="1"/>
    <col min="16135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0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0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0"/>
    </row>
    <row r="4" spans="1:9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0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0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3"/>
    </row>
    <row r="7" spans="1:9" s="829" customFormat="1" ht="15" customHeight="1" x14ac:dyDescent="0.2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</row>
    <row r="12" spans="1:9" s="179" customFormat="1" x14ac:dyDescent="0.2">
      <c r="A12" s="1201" t="s">
        <v>608</v>
      </c>
      <c r="B12" s="1201"/>
      <c r="C12" s="1201"/>
      <c r="D12" s="1201"/>
      <c r="E12" s="1201"/>
      <c r="F12" s="1201"/>
      <c r="G12" s="1201"/>
      <c r="H12" s="1201"/>
      <c r="I12" s="841"/>
    </row>
    <row r="13" spans="1:9" s="179" customFormat="1" ht="6" customHeight="1" x14ac:dyDescent="0.2">
      <c r="E13" s="842"/>
      <c r="F13" s="842"/>
      <c r="G13" s="842"/>
      <c r="H13" s="842"/>
      <c r="I13" s="841"/>
    </row>
    <row r="14" spans="1:9" s="179" customFormat="1" ht="12.75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841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94"/>
    </row>
    <row r="16" spans="1:9" x14ac:dyDescent="0.25">
      <c r="A16" s="564" t="s">
        <v>640</v>
      </c>
      <c r="B16" s="848" t="s">
        <v>172</v>
      </c>
      <c r="C16" s="848" t="s">
        <v>141</v>
      </c>
      <c r="D16" s="581" t="s">
        <v>485</v>
      </c>
      <c r="E16" s="581" t="s">
        <v>345</v>
      </c>
      <c r="F16" s="587" t="s">
        <v>345</v>
      </c>
      <c r="G16" s="563"/>
      <c r="H16" s="580">
        <f>H17+H24+H44+H46+H48+H52</f>
        <v>0</v>
      </c>
    </row>
    <row r="17" spans="1:8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8" x14ac:dyDescent="0.25">
      <c r="A18" s="566" t="s">
        <v>346</v>
      </c>
      <c r="B18" s="848"/>
      <c r="C18" s="848"/>
      <c r="D18" s="848"/>
      <c r="E18" s="849"/>
      <c r="F18" s="559">
        <v>211</v>
      </c>
      <c r="G18" s="559"/>
      <c r="H18" s="850"/>
    </row>
    <row r="19" spans="1:8" x14ac:dyDescent="0.25">
      <c r="A19" s="566" t="s">
        <v>642</v>
      </c>
      <c r="B19" s="848"/>
      <c r="C19" s="848"/>
      <c r="D19" s="848"/>
      <c r="E19" s="851"/>
      <c r="F19" s="559">
        <v>212</v>
      </c>
      <c r="G19" s="559"/>
      <c r="H19" s="850">
        <f>H20</f>
        <v>0</v>
      </c>
    </row>
    <row r="20" spans="1:8" x14ac:dyDescent="0.25">
      <c r="A20" s="567" t="s">
        <v>347</v>
      </c>
      <c r="B20" s="852"/>
      <c r="C20" s="852"/>
      <c r="D20" s="852"/>
      <c r="E20" s="853"/>
      <c r="F20" s="560">
        <v>212</v>
      </c>
      <c r="G20" s="560">
        <v>610</v>
      </c>
      <c r="H20" s="281"/>
    </row>
    <row r="21" spans="1:8" x14ac:dyDescent="0.25">
      <c r="A21" s="566" t="s">
        <v>643</v>
      </c>
      <c r="B21" s="848"/>
      <c r="C21" s="848"/>
      <c r="D21" s="848"/>
      <c r="E21" s="849"/>
      <c r="F21" s="559">
        <v>213</v>
      </c>
      <c r="G21" s="559"/>
      <c r="H21" s="850"/>
    </row>
    <row r="22" spans="1:8" ht="24" x14ac:dyDescent="0.25">
      <c r="A22" s="566" t="s">
        <v>644</v>
      </c>
      <c r="B22" s="848"/>
      <c r="C22" s="848"/>
      <c r="D22" s="848"/>
      <c r="E22" s="851"/>
      <c r="F22" s="559">
        <v>214</v>
      </c>
      <c r="G22" s="559"/>
      <c r="H22" s="850">
        <f>H23</f>
        <v>0</v>
      </c>
    </row>
    <row r="23" spans="1:8" x14ac:dyDescent="0.25">
      <c r="A23" s="567" t="s">
        <v>423</v>
      </c>
      <c r="B23" s="852"/>
      <c r="C23" s="852"/>
      <c r="D23" s="852"/>
      <c r="E23" s="428"/>
      <c r="F23" s="560">
        <v>214</v>
      </c>
      <c r="G23" s="560">
        <v>831</v>
      </c>
      <c r="H23" s="281"/>
    </row>
    <row r="24" spans="1:8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0</v>
      </c>
    </row>
    <row r="25" spans="1:8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8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8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8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8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8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8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8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  <c r="I34" s="84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5"/>
    </row>
    <row r="38" spans="1:9" x14ac:dyDescent="0.25">
      <c r="A38" s="567" t="s">
        <v>361</v>
      </c>
      <c r="B38" s="852"/>
      <c r="C38" s="852"/>
      <c r="D38" s="852"/>
      <c r="E38" s="428"/>
      <c r="F38" s="560">
        <v>226</v>
      </c>
      <c r="G38" s="560" t="s">
        <v>362</v>
      </c>
      <c r="H38" s="281">
        <f>рНадгроб!H11</f>
        <v>0</v>
      </c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428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3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91" t="s">
        <v>639</v>
      </c>
      <c r="B45" s="581"/>
      <c r="C45" s="581"/>
      <c r="D45" s="581"/>
      <c r="E45" s="581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  <c r="I46" s="841"/>
    </row>
    <row r="47" spans="1:9" x14ac:dyDescent="0.25">
      <c r="A47" s="569" t="s">
        <v>652</v>
      </c>
      <c r="B47" s="581"/>
      <c r="C47" s="581"/>
      <c r="D47" s="581"/>
      <c r="E47" s="581"/>
      <c r="F47" s="563" t="s">
        <v>365</v>
      </c>
      <c r="G47" s="563"/>
      <c r="H47" s="580"/>
    </row>
    <row r="48" spans="1:9" x14ac:dyDescent="0.25">
      <c r="A48" s="565" t="s">
        <v>653</v>
      </c>
      <c r="B48" s="857"/>
      <c r="C48" s="857"/>
      <c r="D48" s="857"/>
      <c r="E48" s="857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581"/>
      <c r="C49" s="581"/>
      <c r="D49" s="581"/>
      <c r="E49" s="581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52"/>
      <c r="C50" s="852"/>
      <c r="D50" s="852"/>
      <c r="E50" s="852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51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581"/>
      <c r="C53" s="581"/>
      <c r="D53" s="581"/>
      <c r="E53" s="581"/>
      <c r="F53" s="562">
        <v>291</v>
      </c>
      <c r="G53" s="562"/>
      <c r="H53" s="580"/>
    </row>
    <row r="54" spans="1:8" x14ac:dyDescent="0.25">
      <c r="A54" s="568" t="s">
        <v>380</v>
      </c>
      <c r="B54" s="861"/>
      <c r="C54" s="861"/>
      <c r="D54" s="861"/>
      <c r="E54" s="861"/>
      <c r="F54" s="562">
        <v>292</v>
      </c>
      <c r="G54" s="562"/>
      <c r="H54" s="850"/>
    </row>
    <row r="55" spans="1:8" x14ac:dyDescent="0.25">
      <c r="A55" s="568" t="s">
        <v>381</v>
      </c>
      <c r="B55" s="861"/>
      <c r="C55" s="861"/>
      <c r="D55" s="861"/>
      <c r="E55" s="861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61"/>
      <c r="C57" s="861"/>
      <c r="D57" s="861"/>
      <c r="E57" s="861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581"/>
      <c r="C60" s="581"/>
      <c r="D60" s="581"/>
      <c r="E60" s="581"/>
      <c r="F60" s="563" t="s">
        <v>373</v>
      </c>
      <c r="G60" s="563"/>
      <c r="H60" s="580">
        <f>H61</f>
        <v>0</v>
      </c>
    </row>
    <row r="61" spans="1:8" x14ac:dyDescent="0.25">
      <c r="A61" s="567" t="s">
        <v>374</v>
      </c>
      <c r="B61" s="852"/>
      <c r="C61" s="852"/>
      <c r="D61" s="852"/>
      <c r="E61" s="852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172</v>
      </c>
      <c r="C65" s="848" t="s">
        <v>141</v>
      </c>
      <c r="D65" s="848"/>
      <c r="E65" s="848"/>
      <c r="F65" s="563"/>
      <c r="G65" s="563"/>
      <c r="H65" s="850">
        <f>рНадгроб!H9</f>
        <v>0</v>
      </c>
    </row>
    <row r="66" spans="1:9" x14ac:dyDescent="0.25">
      <c r="A66" s="569" t="s">
        <v>487</v>
      </c>
      <c r="B66" s="848" t="s">
        <v>172</v>
      </c>
      <c r="C66" s="848" t="s">
        <v>141</v>
      </c>
      <c r="D66" s="848"/>
      <c r="E66" s="848"/>
      <c r="F66" s="563"/>
      <c r="G66" s="563"/>
      <c r="H66" s="850">
        <f>рНадгроб!H10</f>
        <v>0</v>
      </c>
    </row>
    <row r="67" spans="1:9" x14ac:dyDescent="0.25">
      <c r="A67" s="571" t="s">
        <v>377</v>
      </c>
      <c r="B67" s="848" t="s">
        <v>172</v>
      </c>
      <c r="C67" s="848" t="s">
        <v>141</v>
      </c>
      <c r="D67" s="848" t="s">
        <v>485</v>
      </c>
      <c r="E67" s="848" t="s">
        <v>345</v>
      </c>
      <c r="F67" s="570"/>
      <c r="G67" s="570"/>
      <c r="H67" s="850">
        <f>H59+H16</f>
        <v>0</v>
      </c>
      <c r="I67" s="638">
        <f>SUM(I16:I64)</f>
        <v>0</v>
      </c>
    </row>
    <row r="68" spans="1:9" x14ac:dyDescent="0.25">
      <c r="A68" s="862"/>
      <c r="B68" s="863"/>
      <c r="C68" s="863"/>
      <c r="D68" s="863"/>
      <c r="E68" s="863"/>
      <c r="F68" s="863"/>
      <c r="G68" s="863"/>
      <c r="H68" s="864"/>
    </row>
    <row r="69" spans="1:9" x14ac:dyDescent="0.25">
      <c r="I69" s="841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A9:D9"/>
    <mergeCell ref="E9:F9"/>
    <mergeCell ref="G9:H9"/>
    <mergeCell ref="A14:A15"/>
    <mergeCell ref="B14:G14"/>
    <mergeCell ref="H14:H15"/>
    <mergeCell ref="A10:D10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7"/>
  <sheetViews>
    <sheetView workbookViewId="0">
      <selection activeCell="I18" sqref="I18"/>
    </sheetView>
  </sheetViews>
  <sheetFormatPr defaultRowHeight="15" x14ac:dyDescent="0.25"/>
  <cols>
    <col min="1" max="1" width="5.85546875" style="279" customWidth="1"/>
    <col min="2" max="2" width="22.28515625" style="279" customWidth="1"/>
    <col min="3" max="3" width="7.42578125" style="279" customWidth="1"/>
    <col min="4" max="4" width="8" style="279" customWidth="1"/>
    <col min="5" max="5" width="9.140625" style="279"/>
    <col min="6" max="6" width="12.5703125" style="279" customWidth="1"/>
    <col min="7" max="7" width="9.5703125" style="279" customWidth="1"/>
    <col min="8" max="8" width="11.5703125" style="279" customWidth="1"/>
    <col min="9" max="9" width="9.140625" style="279"/>
    <col min="10" max="10" width="15.28515625" style="279" customWidth="1"/>
    <col min="11" max="251" width="9.140625" style="279"/>
    <col min="252" max="252" width="5.85546875" style="279" customWidth="1"/>
    <col min="253" max="253" width="10.5703125" style="279" customWidth="1"/>
    <col min="254" max="254" width="11.140625" style="279" customWidth="1"/>
    <col min="255" max="255" width="7.42578125" style="279" customWidth="1"/>
    <col min="256" max="256" width="8" style="279" customWidth="1"/>
    <col min="257" max="257" width="9.140625" style="279"/>
    <col min="258" max="258" width="7.140625" style="279" customWidth="1"/>
    <col min="259" max="259" width="7.5703125" style="279" customWidth="1"/>
    <col min="260" max="260" width="8.85546875" style="279" customWidth="1"/>
    <col min="261" max="261" width="11.5703125" style="279" customWidth="1"/>
    <col min="262" max="262" width="9.140625" style="279"/>
    <col min="263" max="263" width="11.7109375" style="279" bestFit="1" customWidth="1"/>
    <col min="264" max="264" width="9.140625" style="279"/>
    <col min="265" max="266" width="11.7109375" style="279" bestFit="1" customWidth="1"/>
    <col min="267" max="507" width="9.140625" style="279"/>
    <col min="508" max="508" width="5.85546875" style="279" customWidth="1"/>
    <col min="509" max="509" width="10.5703125" style="279" customWidth="1"/>
    <col min="510" max="510" width="11.140625" style="279" customWidth="1"/>
    <col min="511" max="511" width="7.42578125" style="279" customWidth="1"/>
    <col min="512" max="512" width="8" style="279" customWidth="1"/>
    <col min="513" max="513" width="9.140625" style="279"/>
    <col min="514" max="514" width="7.140625" style="279" customWidth="1"/>
    <col min="515" max="515" width="7.5703125" style="279" customWidth="1"/>
    <col min="516" max="516" width="8.85546875" style="279" customWidth="1"/>
    <col min="517" max="517" width="11.5703125" style="279" customWidth="1"/>
    <col min="518" max="518" width="9.140625" style="279"/>
    <col min="519" max="519" width="11.7109375" style="279" bestFit="1" customWidth="1"/>
    <col min="520" max="520" width="9.140625" style="279"/>
    <col min="521" max="522" width="11.7109375" style="279" bestFit="1" customWidth="1"/>
    <col min="523" max="763" width="9.140625" style="279"/>
    <col min="764" max="764" width="5.85546875" style="279" customWidth="1"/>
    <col min="765" max="765" width="10.5703125" style="279" customWidth="1"/>
    <col min="766" max="766" width="11.140625" style="279" customWidth="1"/>
    <col min="767" max="767" width="7.42578125" style="279" customWidth="1"/>
    <col min="768" max="768" width="8" style="279" customWidth="1"/>
    <col min="769" max="769" width="9.140625" style="279"/>
    <col min="770" max="770" width="7.140625" style="279" customWidth="1"/>
    <col min="771" max="771" width="7.5703125" style="279" customWidth="1"/>
    <col min="772" max="772" width="8.85546875" style="279" customWidth="1"/>
    <col min="773" max="773" width="11.5703125" style="279" customWidth="1"/>
    <col min="774" max="774" width="9.140625" style="279"/>
    <col min="775" max="775" width="11.7109375" style="279" bestFit="1" customWidth="1"/>
    <col min="776" max="776" width="9.140625" style="279"/>
    <col min="777" max="778" width="11.7109375" style="279" bestFit="1" customWidth="1"/>
    <col min="779" max="1019" width="9.140625" style="279"/>
    <col min="1020" max="1020" width="5.85546875" style="279" customWidth="1"/>
    <col min="1021" max="1021" width="10.5703125" style="279" customWidth="1"/>
    <col min="1022" max="1022" width="11.140625" style="279" customWidth="1"/>
    <col min="1023" max="1023" width="7.42578125" style="279" customWidth="1"/>
    <col min="1024" max="1024" width="8" style="279" customWidth="1"/>
    <col min="1025" max="1025" width="9.140625" style="279"/>
    <col min="1026" max="1026" width="7.140625" style="279" customWidth="1"/>
    <col min="1027" max="1027" width="7.5703125" style="279" customWidth="1"/>
    <col min="1028" max="1028" width="8.85546875" style="279" customWidth="1"/>
    <col min="1029" max="1029" width="11.5703125" style="279" customWidth="1"/>
    <col min="1030" max="1030" width="9.140625" style="279"/>
    <col min="1031" max="1031" width="11.7109375" style="279" bestFit="1" customWidth="1"/>
    <col min="1032" max="1032" width="9.140625" style="279"/>
    <col min="1033" max="1034" width="11.7109375" style="279" bestFit="1" customWidth="1"/>
    <col min="1035" max="1275" width="9.140625" style="279"/>
    <col min="1276" max="1276" width="5.85546875" style="279" customWidth="1"/>
    <col min="1277" max="1277" width="10.5703125" style="279" customWidth="1"/>
    <col min="1278" max="1278" width="11.140625" style="279" customWidth="1"/>
    <col min="1279" max="1279" width="7.42578125" style="279" customWidth="1"/>
    <col min="1280" max="1280" width="8" style="279" customWidth="1"/>
    <col min="1281" max="1281" width="9.140625" style="279"/>
    <col min="1282" max="1282" width="7.140625" style="279" customWidth="1"/>
    <col min="1283" max="1283" width="7.5703125" style="279" customWidth="1"/>
    <col min="1284" max="1284" width="8.85546875" style="279" customWidth="1"/>
    <col min="1285" max="1285" width="11.5703125" style="279" customWidth="1"/>
    <col min="1286" max="1286" width="9.140625" style="279"/>
    <col min="1287" max="1287" width="11.7109375" style="279" bestFit="1" customWidth="1"/>
    <col min="1288" max="1288" width="9.140625" style="279"/>
    <col min="1289" max="1290" width="11.7109375" style="279" bestFit="1" customWidth="1"/>
    <col min="1291" max="1531" width="9.140625" style="279"/>
    <col min="1532" max="1532" width="5.85546875" style="279" customWidth="1"/>
    <col min="1533" max="1533" width="10.5703125" style="279" customWidth="1"/>
    <col min="1534" max="1534" width="11.140625" style="279" customWidth="1"/>
    <col min="1535" max="1535" width="7.42578125" style="279" customWidth="1"/>
    <col min="1536" max="1536" width="8" style="279" customWidth="1"/>
    <col min="1537" max="1537" width="9.140625" style="279"/>
    <col min="1538" max="1538" width="7.140625" style="279" customWidth="1"/>
    <col min="1539" max="1539" width="7.5703125" style="279" customWidth="1"/>
    <col min="1540" max="1540" width="8.85546875" style="279" customWidth="1"/>
    <col min="1541" max="1541" width="11.5703125" style="279" customWidth="1"/>
    <col min="1542" max="1542" width="9.140625" style="279"/>
    <col min="1543" max="1543" width="11.7109375" style="279" bestFit="1" customWidth="1"/>
    <col min="1544" max="1544" width="9.140625" style="279"/>
    <col min="1545" max="1546" width="11.7109375" style="279" bestFit="1" customWidth="1"/>
    <col min="1547" max="1787" width="9.140625" style="279"/>
    <col min="1788" max="1788" width="5.85546875" style="279" customWidth="1"/>
    <col min="1789" max="1789" width="10.5703125" style="279" customWidth="1"/>
    <col min="1790" max="1790" width="11.140625" style="279" customWidth="1"/>
    <col min="1791" max="1791" width="7.42578125" style="279" customWidth="1"/>
    <col min="1792" max="1792" width="8" style="279" customWidth="1"/>
    <col min="1793" max="1793" width="9.140625" style="279"/>
    <col min="1794" max="1794" width="7.140625" style="279" customWidth="1"/>
    <col min="1795" max="1795" width="7.5703125" style="279" customWidth="1"/>
    <col min="1796" max="1796" width="8.85546875" style="279" customWidth="1"/>
    <col min="1797" max="1797" width="11.5703125" style="279" customWidth="1"/>
    <col min="1798" max="1798" width="9.140625" style="279"/>
    <col min="1799" max="1799" width="11.7109375" style="279" bestFit="1" customWidth="1"/>
    <col min="1800" max="1800" width="9.140625" style="279"/>
    <col min="1801" max="1802" width="11.7109375" style="279" bestFit="1" customWidth="1"/>
    <col min="1803" max="2043" width="9.140625" style="279"/>
    <col min="2044" max="2044" width="5.85546875" style="279" customWidth="1"/>
    <col min="2045" max="2045" width="10.5703125" style="279" customWidth="1"/>
    <col min="2046" max="2046" width="11.140625" style="279" customWidth="1"/>
    <col min="2047" max="2047" width="7.42578125" style="279" customWidth="1"/>
    <col min="2048" max="2048" width="8" style="279" customWidth="1"/>
    <col min="2049" max="2049" width="9.140625" style="279"/>
    <col min="2050" max="2050" width="7.140625" style="279" customWidth="1"/>
    <col min="2051" max="2051" width="7.5703125" style="279" customWidth="1"/>
    <col min="2052" max="2052" width="8.85546875" style="279" customWidth="1"/>
    <col min="2053" max="2053" width="11.5703125" style="279" customWidth="1"/>
    <col min="2054" max="2054" width="9.140625" style="279"/>
    <col min="2055" max="2055" width="11.7109375" style="279" bestFit="1" customWidth="1"/>
    <col min="2056" max="2056" width="9.140625" style="279"/>
    <col min="2057" max="2058" width="11.7109375" style="279" bestFit="1" customWidth="1"/>
    <col min="2059" max="2299" width="9.140625" style="279"/>
    <col min="2300" max="2300" width="5.85546875" style="279" customWidth="1"/>
    <col min="2301" max="2301" width="10.5703125" style="279" customWidth="1"/>
    <col min="2302" max="2302" width="11.140625" style="279" customWidth="1"/>
    <col min="2303" max="2303" width="7.42578125" style="279" customWidth="1"/>
    <col min="2304" max="2304" width="8" style="279" customWidth="1"/>
    <col min="2305" max="2305" width="9.140625" style="279"/>
    <col min="2306" max="2306" width="7.140625" style="279" customWidth="1"/>
    <col min="2307" max="2307" width="7.5703125" style="279" customWidth="1"/>
    <col min="2308" max="2308" width="8.85546875" style="279" customWidth="1"/>
    <col min="2309" max="2309" width="11.5703125" style="279" customWidth="1"/>
    <col min="2310" max="2310" width="9.140625" style="279"/>
    <col min="2311" max="2311" width="11.7109375" style="279" bestFit="1" customWidth="1"/>
    <col min="2312" max="2312" width="9.140625" style="279"/>
    <col min="2313" max="2314" width="11.7109375" style="279" bestFit="1" customWidth="1"/>
    <col min="2315" max="2555" width="9.140625" style="279"/>
    <col min="2556" max="2556" width="5.85546875" style="279" customWidth="1"/>
    <col min="2557" max="2557" width="10.5703125" style="279" customWidth="1"/>
    <col min="2558" max="2558" width="11.140625" style="279" customWidth="1"/>
    <col min="2559" max="2559" width="7.42578125" style="279" customWidth="1"/>
    <col min="2560" max="2560" width="8" style="279" customWidth="1"/>
    <col min="2561" max="2561" width="9.140625" style="279"/>
    <col min="2562" max="2562" width="7.140625" style="279" customWidth="1"/>
    <col min="2563" max="2563" width="7.5703125" style="279" customWidth="1"/>
    <col min="2564" max="2564" width="8.85546875" style="279" customWidth="1"/>
    <col min="2565" max="2565" width="11.5703125" style="279" customWidth="1"/>
    <col min="2566" max="2566" width="9.140625" style="279"/>
    <col min="2567" max="2567" width="11.7109375" style="279" bestFit="1" customWidth="1"/>
    <col min="2568" max="2568" width="9.140625" style="279"/>
    <col min="2569" max="2570" width="11.7109375" style="279" bestFit="1" customWidth="1"/>
    <col min="2571" max="2811" width="9.140625" style="279"/>
    <col min="2812" max="2812" width="5.85546875" style="279" customWidth="1"/>
    <col min="2813" max="2813" width="10.5703125" style="279" customWidth="1"/>
    <col min="2814" max="2814" width="11.140625" style="279" customWidth="1"/>
    <col min="2815" max="2815" width="7.42578125" style="279" customWidth="1"/>
    <col min="2816" max="2816" width="8" style="279" customWidth="1"/>
    <col min="2817" max="2817" width="9.140625" style="279"/>
    <col min="2818" max="2818" width="7.140625" style="279" customWidth="1"/>
    <col min="2819" max="2819" width="7.5703125" style="279" customWidth="1"/>
    <col min="2820" max="2820" width="8.85546875" style="279" customWidth="1"/>
    <col min="2821" max="2821" width="11.5703125" style="279" customWidth="1"/>
    <col min="2822" max="2822" width="9.140625" style="279"/>
    <col min="2823" max="2823" width="11.7109375" style="279" bestFit="1" customWidth="1"/>
    <col min="2824" max="2824" width="9.140625" style="279"/>
    <col min="2825" max="2826" width="11.7109375" style="279" bestFit="1" customWidth="1"/>
    <col min="2827" max="3067" width="9.140625" style="279"/>
    <col min="3068" max="3068" width="5.85546875" style="279" customWidth="1"/>
    <col min="3069" max="3069" width="10.5703125" style="279" customWidth="1"/>
    <col min="3070" max="3070" width="11.140625" style="279" customWidth="1"/>
    <col min="3071" max="3071" width="7.42578125" style="279" customWidth="1"/>
    <col min="3072" max="3072" width="8" style="279" customWidth="1"/>
    <col min="3073" max="3073" width="9.140625" style="279"/>
    <col min="3074" max="3074" width="7.140625" style="279" customWidth="1"/>
    <col min="3075" max="3075" width="7.5703125" style="279" customWidth="1"/>
    <col min="3076" max="3076" width="8.85546875" style="279" customWidth="1"/>
    <col min="3077" max="3077" width="11.5703125" style="279" customWidth="1"/>
    <col min="3078" max="3078" width="9.140625" style="279"/>
    <col min="3079" max="3079" width="11.7109375" style="279" bestFit="1" customWidth="1"/>
    <col min="3080" max="3080" width="9.140625" style="279"/>
    <col min="3081" max="3082" width="11.7109375" style="279" bestFit="1" customWidth="1"/>
    <col min="3083" max="3323" width="9.140625" style="279"/>
    <col min="3324" max="3324" width="5.85546875" style="279" customWidth="1"/>
    <col min="3325" max="3325" width="10.5703125" style="279" customWidth="1"/>
    <col min="3326" max="3326" width="11.140625" style="279" customWidth="1"/>
    <col min="3327" max="3327" width="7.42578125" style="279" customWidth="1"/>
    <col min="3328" max="3328" width="8" style="279" customWidth="1"/>
    <col min="3329" max="3329" width="9.140625" style="279"/>
    <col min="3330" max="3330" width="7.140625" style="279" customWidth="1"/>
    <col min="3331" max="3331" width="7.5703125" style="279" customWidth="1"/>
    <col min="3332" max="3332" width="8.85546875" style="279" customWidth="1"/>
    <col min="3333" max="3333" width="11.5703125" style="279" customWidth="1"/>
    <col min="3334" max="3334" width="9.140625" style="279"/>
    <col min="3335" max="3335" width="11.7109375" style="279" bestFit="1" customWidth="1"/>
    <col min="3336" max="3336" width="9.140625" style="279"/>
    <col min="3337" max="3338" width="11.7109375" style="279" bestFit="1" customWidth="1"/>
    <col min="3339" max="3579" width="9.140625" style="279"/>
    <col min="3580" max="3580" width="5.85546875" style="279" customWidth="1"/>
    <col min="3581" max="3581" width="10.5703125" style="279" customWidth="1"/>
    <col min="3582" max="3582" width="11.140625" style="279" customWidth="1"/>
    <col min="3583" max="3583" width="7.42578125" style="279" customWidth="1"/>
    <col min="3584" max="3584" width="8" style="279" customWidth="1"/>
    <col min="3585" max="3585" width="9.140625" style="279"/>
    <col min="3586" max="3586" width="7.140625" style="279" customWidth="1"/>
    <col min="3587" max="3587" width="7.5703125" style="279" customWidth="1"/>
    <col min="3588" max="3588" width="8.85546875" style="279" customWidth="1"/>
    <col min="3589" max="3589" width="11.5703125" style="279" customWidth="1"/>
    <col min="3590" max="3590" width="9.140625" style="279"/>
    <col min="3591" max="3591" width="11.7109375" style="279" bestFit="1" customWidth="1"/>
    <col min="3592" max="3592" width="9.140625" style="279"/>
    <col min="3593" max="3594" width="11.7109375" style="279" bestFit="1" customWidth="1"/>
    <col min="3595" max="3835" width="9.140625" style="279"/>
    <col min="3836" max="3836" width="5.85546875" style="279" customWidth="1"/>
    <col min="3837" max="3837" width="10.5703125" style="279" customWidth="1"/>
    <col min="3838" max="3838" width="11.140625" style="279" customWidth="1"/>
    <col min="3839" max="3839" width="7.42578125" style="279" customWidth="1"/>
    <col min="3840" max="3840" width="8" style="279" customWidth="1"/>
    <col min="3841" max="3841" width="9.140625" style="279"/>
    <col min="3842" max="3842" width="7.140625" style="279" customWidth="1"/>
    <col min="3843" max="3843" width="7.5703125" style="279" customWidth="1"/>
    <col min="3844" max="3844" width="8.85546875" style="279" customWidth="1"/>
    <col min="3845" max="3845" width="11.5703125" style="279" customWidth="1"/>
    <col min="3846" max="3846" width="9.140625" style="279"/>
    <col min="3847" max="3847" width="11.7109375" style="279" bestFit="1" customWidth="1"/>
    <col min="3848" max="3848" width="9.140625" style="279"/>
    <col min="3849" max="3850" width="11.7109375" style="279" bestFit="1" customWidth="1"/>
    <col min="3851" max="4091" width="9.140625" style="279"/>
    <col min="4092" max="4092" width="5.85546875" style="279" customWidth="1"/>
    <col min="4093" max="4093" width="10.5703125" style="279" customWidth="1"/>
    <col min="4094" max="4094" width="11.140625" style="279" customWidth="1"/>
    <col min="4095" max="4095" width="7.42578125" style="279" customWidth="1"/>
    <col min="4096" max="4096" width="8" style="279" customWidth="1"/>
    <col min="4097" max="4097" width="9.140625" style="279"/>
    <col min="4098" max="4098" width="7.140625" style="279" customWidth="1"/>
    <col min="4099" max="4099" width="7.5703125" style="279" customWidth="1"/>
    <col min="4100" max="4100" width="8.85546875" style="279" customWidth="1"/>
    <col min="4101" max="4101" width="11.5703125" style="279" customWidth="1"/>
    <col min="4102" max="4102" width="9.140625" style="279"/>
    <col min="4103" max="4103" width="11.7109375" style="279" bestFit="1" customWidth="1"/>
    <col min="4104" max="4104" width="9.140625" style="279"/>
    <col min="4105" max="4106" width="11.7109375" style="279" bestFit="1" customWidth="1"/>
    <col min="4107" max="4347" width="9.140625" style="279"/>
    <col min="4348" max="4348" width="5.85546875" style="279" customWidth="1"/>
    <col min="4349" max="4349" width="10.5703125" style="279" customWidth="1"/>
    <col min="4350" max="4350" width="11.140625" style="279" customWidth="1"/>
    <col min="4351" max="4351" width="7.42578125" style="279" customWidth="1"/>
    <col min="4352" max="4352" width="8" style="279" customWidth="1"/>
    <col min="4353" max="4353" width="9.140625" style="279"/>
    <col min="4354" max="4354" width="7.140625" style="279" customWidth="1"/>
    <col min="4355" max="4355" width="7.5703125" style="279" customWidth="1"/>
    <col min="4356" max="4356" width="8.85546875" style="279" customWidth="1"/>
    <col min="4357" max="4357" width="11.5703125" style="279" customWidth="1"/>
    <col min="4358" max="4358" width="9.140625" style="279"/>
    <col min="4359" max="4359" width="11.7109375" style="279" bestFit="1" customWidth="1"/>
    <col min="4360" max="4360" width="9.140625" style="279"/>
    <col min="4361" max="4362" width="11.7109375" style="279" bestFit="1" customWidth="1"/>
    <col min="4363" max="4603" width="9.140625" style="279"/>
    <col min="4604" max="4604" width="5.85546875" style="279" customWidth="1"/>
    <col min="4605" max="4605" width="10.5703125" style="279" customWidth="1"/>
    <col min="4606" max="4606" width="11.140625" style="279" customWidth="1"/>
    <col min="4607" max="4607" width="7.42578125" style="279" customWidth="1"/>
    <col min="4608" max="4608" width="8" style="279" customWidth="1"/>
    <col min="4609" max="4609" width="9.140625" style="279"/>
    <col min="4610" max="4610" width="7.140625" style="279" customWidth="1"/>
    <col min="4611" max="4611" width="7.5703125" style="279" customWidth="1"/>
    <col min="4612" max="4612" width="8.85546875" style="279" customWidth="1"/>
    <col min="4613" max="4613" width="11.5703125" style="279" customWidth="1"/>
    <col min="4614" max="4614" width="9.140625" style="279"/>
    <col min="4615" max="4615" width="11.7109375" style="279" bestFit="1" customWidth="1"/>
    <col min="4616" max="4616" width="9.140625" style="279"/>
    <col min="4617" max="4618" width="11.7109375" style="279" bestFit="1" customWidth="1"/>
    <col min="4619" max="4859" width="9.140625" style="279"/>
    <col min="4860" max="4860" width="5.85546875" style="279" customWidth="1"/>
    <col min="4861" max="4861" width="10.5703125" style="279" customWidth="1"/>
    <col min="4862" max="4862" width="11.140625" style="279" customWidth="1"/>
    <col min="4863" max="4863" width="7.42578125" style="279" customWidth="1"/>
    <col min="4864" max="4864" width="8" style="279" customWidth="1"/>
    <col min="4865" max="4865" width="9.140625" style="279"/>
    <col min="4866" max="4866" width="7.140625" style="279" customWidth="1"/>
    <col min="4867" max="4867" width="7.5703125" style="279" customWidth="1"/>
    <col min="4868" max="4868" width="8.85546875" style="279" customWidth="1"/>
    <col min="4869" max="4869" width="11.5703125" style="279" customWidth="1"/>
    <col min="4870" max="4870" width="9.140625" style="279"/>
    <col min="4871" max="4871" width="11.7109375" style="279" bestFit="1" customWidth="1"/>
    <col min="4872" max="4872" width="9.140625" style="279"/>
    <col min="4873" max="4874" width="11.7109375" style="279" bestFit="1" customWidth="1"/>
    <col min="4875" max="5115" width="9.140625" style="279"/>
    <col min="5116" max="5116" width="5.85546875" style="279" customWidth="1"/>
    <col min="5117" max="5117" width="10.5703125" style="279" customWidth="1"/>
    <col min="5118" max="5118" width="11.140625" style="279" customWidth="1"/>
    <col min="5119" max="5119" width="7.42578125" style="279" customWidth="1"/>
    <col min="5120" max="5120" width="8" style="279" customWidth="1"/>
    <col min="5121" max="5121" width="9.140625" style="279"/>
    <col min="5122" max="5122" width="7.140625" style="279" customWidth="1"/>
    <col min="5123" max="5123" width="7.5703125" style="279" customWidth="1"/>
    <col min="5124" max="5124" width="8.85546875" style="279" customWidth="1"/>
    <col min="5125" max="5125" width="11.5703125" style="279" customWidth="1"/>
    <col min="5126" max="5126" width="9.140625" style="279"/>
    <col min="5127" max="5127" width="11.7109375" style="279" bestFit="1" customWidth="1"/>
    <col min="5128" max="5128" width="9.140625" style="279"/>
    <col min="5129" max="5130" width="11.7109375" style="279" bestFit="1" customWidth="1"/>
    <col min="5131" max="5371" width="9.140625" style="279"/>
    <col min="5372" max="5372" width="5.85546875" style="279" customWidth="1"/>
    <col min="5373" max="5373" width="10.5703125" style="279" customWidth="1"/>
    <col min="5374" max="5374" width="11.140625" style="279" customWidth="1"/>
    <col min="5375" max="5375" width="7.42578125" style="279" customWidth="1"/>
    <col min="5376" max="5376" width="8" style="279" customWidth="1"/>
    <col min="5377" max="5377" width="9.140625" style="279"/>
    <col min="5378" max="5378" width="7.140625" style="279" customWidth="1"/>
    <col min="5379" max="5379" width="7.5703125" style="279" customWidth="1"/>
    <col min="5380" max="5380" width="8.85546875" style="279" customWidth="1"/>
    <col min="5381" max="5381" width="11.5703125" style="279" customWidth="1"/>
    <col min="5382" max="5382" width="9.140625" style="279"/>
    <col min="5383" max="5383" width="11.7109375" style="279" bestFit="1" customWidth="1"/>
    <col min="5384" max="5384" width="9.140625" style="279"/>
    <col min="5385" max="5386" width="11.7109375" style="279" bestFit="1" customWidth="1"/>
    <col min="5387" max="5627" width="9.140625" style="279"/>
    <col min="5628" max="5628" width="5.85546875" style="279" customWidth="1"/>
    <col min="5629" max="5629" width="10.5703125" style="279" customWidth="1"/>
    <col min="5630" max="5630" width="11.140625" style="279" customWidth="1"/>
    <col min="5631" max="5631" width="7.42578125" style="279" customWidth="1"/>
    <col min="5632" max="5632" width="8" style="279" customWidth="1"/>
    <col min="5633" max="5633" width="9.140625" style="279"/>
    <col min="5634" max="5634" width="7.140625" style="279" customWidth="1"/>
    <col min="5635" max="5635" width="7.5703125" style="279" customWidth="1"/>
    <col min="5636" max="5636" width="8.85546875" style="279" customWidth="1"/>
    <col min="5637" max="5637" width="11.5703125" style="279" customWidth="1"/>
    <col min="5638" max="5638" width="9.140625" style="279"/>
    <col min="5639" max="5639" width="11.7109375" style="279" bestFit="1" customWidth="1"/>
    <col min="5640" max="5640" width="9.140625" style="279"/>
    <col min="5641" max="5642" width="11.7109375" style="279" bestFit="1" customWidth="1"/>
    <col min="5643" max="5883" width="9.140625" style="279"/>
    <col min="5884" max="5884" width="5.85546875" style="279" customWidth="1"/>
    <col min="5885" max="5885" width="10.5703125" style="279" customWidth="1"/>
    <col min="5886" max="5886" width="11.140625" style="279" customWidth="1"/>
    <col min="5887" max="5887" width="7.42578125" style="279" customWidth="1"/>
    <col min="5888" max="5888" width="8" style="279" customWidth="1"/>
    <col min="5889" max="5889" width="9.140625" style="279"/>
    <col min="5890" max="5890" width="7.140625" style="279" customWidth="1"/>
    <col min="5891" max="5891" width="7.5703125" style="279" customWidth="1"/>
    <col min="5892" max="5892" width="8.85546875" style="279" customWidth="1"/>
    <col min="5893" max="5893" width="11.5703125" style="279" customWidth="1"/>
    <col min="5894" max="5894" width="9.140625" style="279"/>
    <col min="5895" max="5895" width="11.7109375" style="279" bestFit="1" customWidth="1"/>
    <col min="5896" max="5896" width="9.140625" style="279"/>
    <col min="5897" max="5898" width="11.7109375" style="279" bestFit="1" customWidth="1"/>
    <col min="5899" max="6139" width="9.140625" style="279"/>
    <col min="6140" max="6140" width="5.85546875" style="279" customWidth="1"/>
    <col min="6141" max="6141" width="10.5703125" style="279" customWidth="1"/>
    <col min="6142" max="6142" width="11.140625" style="279" customWidth="1"/>
    <col min="6143" max="6143" width="7.42578125" style="279" customWidth="1"/>
    <col min="6144" max="6144" width="8" style="279" customWidth="1"/>
    <col min="6145" max="6145" width="9.140625" style="279"/>
    <col min="6146" max="6146" width="7.140625" style="279" customWidth="1"/>
    <col min="6147" max="6147" width="7.5703125" style="279" customWidth="1"/>
    <col min="6148" max="6148" width="8.85546875" style="279" customWidth="1"/>
    <col min="6149" max="6149" width="11.5703125" style="279" customWidth="1"/>
    <col min="6150" max="6150" width="9.140625" style="279"/>
    <col min="6151" max="6151" width="11.7109375" style="279" bestFit="1" customWidth="1"/>
    <col min="6152" max="6152" width="9.140625" style="279"/>
    <col min="6153" max="6154" width="11.7109375" style="279" bestFit="1" customWidth="1"/>
    <col min="6155" max="6395" width="9.140625" style="279"/>
    <col min="6396" max="6396" width="5.85546875" style="279" customWidth="1"/>
    <col min="6397" max="6397" width="10.5703125" style="279" customWidth="1"/>
    <col min="6398" max="6398" width="11.140625" style="279" customWidth="1"/>
    <col min="6399" max="6399" width="7.42578125" style="279" customWidth="1"/>
    <col min="6400" max="6400" width="8" style="279" customWidth="1"/>
    <col min="6401" max="6401" width="9.140625" style="279"/>
    <col min="6402" max="6402" width="7.140625" style="279" customWidth="1"/>
    <col min="6403" max="6403" width="7.5703125" style="279" customWidth="1"/>
    <col min="6404" max="6404" width="8.85546875" style="279" customWidth="1"/>
    <col min="6405" max="6405" width="11.5703125" style="279" customWidth="1"/>
    <col min="6406" max="6406" width="9.140625" style="279"/>
    <col min="6407" max="6407" width="11.7109375" style="279" bestFit="1" customWidth="1"/>
    <col min="6408" max="6408" width="9.140625" style="279"/>
    <col min="6409" max="6410" width="11.7109375" style="279" bestFit="1" customWidth="1"/>
    <col min="6411" max="6651" width="9.140625" style="279"/>
    <col min="6652" max="6652" width="5.85546875" style="279" customWidth="1"/>
    <col min="6653" max="6653" width="10.5703125" style="279" customWidth="1"/>
    <col min="6654" max="6654" width="11.140625" style="279" customWidth="1"/>
    <col min="6655" max="6655" width="7.42578125" style="279" customWidth="1"/>
    <col min="6656" max="6656" width="8" style="279" customWidth="1"/>
    <col min="6657" max="6657" width="9.140625" style="279"/>
    <col min="6658" max="6658" width="7.140625" style="279" customWidth="1"/>
    <col min="6659" max="6659" width="7.5703125" style="279" customWidth="1"/>
    <col min="6660" max="6660" width="8.85546875" style="279" customWidth="1"/>
    <col min="6661" max="6661" width="11.5703125" style="279" customWidth="1"/>
    <col min="6662" max="6662" width="9.140625" style="279"/>
    <col min="6663" max="6663" width="11.7109375" style="279" bestFit="1" customWidth="1"/>
    <col min="6664" max="6664" width="9.140625" style="279"/>
    <col min="6665" max="6666" width="11.7109375" style="279" bestFit="1" customWidth="1"/>
    <col min="6667" max="6907" width="9.140625" style="279"/>
    <col min="6908" max="6908" width="5.85546875" style="279" customWidth="1"/>
    <col min="6909" max="6909" width="10.5703125" style="279" customWidth="1"/>
    <col min="6910" max="6910" width="11.140625" style="279" customWidth="1"/>
    <col min="6911" max="6911" width="7.42578125" style="279" customWidth="1"/>
    <col min="6912" max="6912" width="8" style="279" customWidth="1"/>
    <col min="6913" max="6913" width="9.140625" style="279"/>
    <col min="6914" max="6914" width="7.140625" style="279" customWidth="1"/>
    <col min="6915" max="6915" width="7.5703125" style="279" customWidth="1"/>
    <col min="6916" max="6916" width="8.85546875" style="279" customWidth="1"/>
    <col min="6917" max="6917" width="11.5703125" style="279" customWidth="1"/>
    <col min="6918" max="6918" width="9.140625" style="279"/>
    <col min="6919" max="6919" width="11.7109375" style="279" bestFit="1" customWidth="1"/>
    <col min="6920" max="6920" width="9.140625" style="279"/>
    <col min="6921" max="6922" width="11.7109375" style="279" bestFit="1" customWidth="1"/>
    <col min="6923" max="7163" width="9.140625" style="279"/>
    <col min="7164" max="7164" width="5.85546875" style="279" customWidth="1"/>
    <col min="7165" max="7165" width="10.5703125" style="279" customWidth="1"/>
    <col min="7166" max="7166" width="11.140625" style="279" customWidth="1"/>
    <col min="7167" max="7167" width="7.42578125" style="279" customWidth="1"/>
    <col min="7168" max="7168" width="8" style="279" customWidth="1"/>
    <col min="7169" max="7169" width="9.140625" style="279"/>
    <col min="7170" max="7170" width="7.140625" style="279" customWidth="1"/>
    <col min="7171" max="7171" width="7.5703125" style="279" customWidth="1"/>
    <col min="7172" max="7172" width="8.85546875" style="279" customWidth="1"/>
    <col min="7173" max="7173" width="11.5703125" style="279" customWidth="1"/>
    <col min="7174" max="7174" width="9.140625" style="279"/>
    <col min="7175" max="7175" width="11.7109375" style="279" bestFit="1" customWidth="1"/>
    <col min="7176" max="7176" width="9.140625" style="279"/>
    <col min="7177" max="7178" width="11.7109375" style="279" bestFit="1" customWidth="1"/>
    <col min="7179" max="7419" width="9.140625" style="279"/>
    <col min="7420" max="7420" width="5.85546875" style="279" customWidth="1"/>
    <col min="7421" max="7421" width="10.5703125" style="279" customWidth="1"/>
    <col min="7422" max="7422" width="11.140625" style="279" customWidth="1"/>
    <col min="7423" max="7423" width="7.42578125" style="279" customWidth="1"/>
    <col min="7424" max="7424" width="8" style="279" customWidth="1"/>
    <col min="7425" max="7425" width="9.140625" style="279"/>
    <col min="7426" max="7426" width="7.140625" style="279" customWidth="1"/>
    <col min="7427" max="7427" width="7.5703125" style="279" customWidth="1"/>
    <col min="7428" max="7428" width="8.85546875" style="279" customWidth="1"/>
    <col min="7429" max="7429" width="11.5703125" style="279" customWidth="1"/>
    <col min="7430" max="7430" width="9.140625" style="279"/>
    <col min="7431" max="7431" width="11.7109375" style="279" bestFit="1" customWidth="1"/>
    <col min="7432" max="7432" width="9.140625" style="279"/>
    <col min="7433" max="7434" width="11.7109375" style="279" bestFit="1" customWidth="1"/>
    <col min="7435" max="7675" width="9.140625" style="279"/>
    <col min="7676" max="7676" width="5.85546875" style="279" customWidth="1"/>
    <col min="7677" max="7677" width="10.5703125" style="279" customWidth="1"/>
    <col min="7678" max="7678" width="11.140625" style="279" customWidth="1"/>
    <col min="7679" max="7679" width="7.42578125" style="279" customWidth="1"/>
    <col min="7680" max="7680" width="8" style="279" customWidth="1"/>
    <col min="7681" max="7681" width="9.140625" style="279"/>
    <col min="7682" max="7682" width="7.140625" style="279" customWidth="1"/>
    <col min="7683" max="7683" width="7.5703125" style="279" customWidth="1"/>
    <col min="7684" max="7684" width="8.85546875" style="279" customWidth="1"/>
    <col min="7685" max="7685" width="11.5703125" style="279" customWidth="1"/>
    <col min="7686" max="7686" width="9.140625" style="279"/>
    <col min="7687" max="7687" width="11.7109375" style="279" bestFit="1" customWidth="1"/>
    <col min="7688" max="7688" width="9.140625" style="279"/>
    <col min="7689" max="7690" width="11.7109375" style="279" bestFit="1" customWidth="1"/>
    <col min="7691" max="7931" width="9.140625" style="279"/>
    <col min="7932" max="7932" width="5.85546875" style="279" customWidth="1"/>
    <col min="7933" max="7933" width="10.5703125" style="279" customWidth="1"/>
    <col min="7934" max="7934" width="11.140625" style="279" customWidth="1"/>
    <col min="7935" max="7935" width="7.42578125" style="279" customWidth="1"/>
    <col min="7936" max="7936" width="8" style="279" customWidth="1"/>
    <col min="7937" max="7937" width="9.140625" style="279"/>
    <col min="7938" max="7938" width="7.140625" style="279" customWidth="1"/>
    <col min="7939" max="7939" width="7.5703125" style="279" customWidth="1"/>
    <col min="7940" max="7940" width="8.85546875" style="279" customWidth="1"/>
    <col min="7941" max="7941" width="11.5703125" style="279" customWidth="1"/>
    <col min="7942" max="7942" width="9.140625" style="279"/>
    <col min="7943" max="7943" width="11.7109375" style="279" bestFit="1" customWidth="1"/>
    <col min="7944" max="7944" width="9.140625" style="279"/>
    <col min="7945" max="7946" width="11.7109375" style="279" bestFit="1" customWidth="1"/>
    <col min="7947" max="8187" width="9.140625" style="279"/>
    <col min="8188" max="8188" width="5.85546875" style="279" customWidth="1"/>
    <col min="8189" max="8189" width="10.5703125" style="279" customWidth="1"/>
    <col min="8190" max="8190" width="11.140625" style="279" customWidth="1"/>
    <col min="8191" max="8191" width="7.42578125" style="279" customWidth="1"/>
    <col min="8192" max="8192" width="8" style="279" customWidth="1"/>
    <col min="8193" max="8193" width="9.140625" style="279"/>
    <col min="8194" max="8194" width="7.140625" style="279" customWidth="1"/>
    <col min="8195" max="8195" width="7.5703125" style="279" customWidth="1"/>
    <col min="8196" max="8196" width="8.85546875" style="279" customWidth="1"/>
    <col min="8197" max="8197" width="11.5703125" style="279" customWidth="1"/>
    <col min="8198" max="8198" width="9.140625" style="279"/>
    <col min="8199" max="8199" width="11.7109375" style="279" bestFit="1" customWidth="1"/>
    <col min="8200" max="8200" width="9.140625" style="279"/>
    <col min="8201" max="8202" width="11.7109375" style="279" bestFit="1" customWidth="1"/>
    <col min="8203" max="8443" width="9.140625" style="279"/>
    <col min="8444" max="8444" width="5.85546875" style="279" customWidth="1"/>
    <col min="8445" max="8445" width="10.5703125" style="279" customWidth="1"/>
    <col min="8446" max="8446" width="11.140625" style="279" customWidth="1"/>
    <col min="8447" max="8447" width="7.42578125" style="279" customWidth="1"/>
    <col min="8448" max="8448" width="8" style="279" customWidth="1"/>
    <col min="8449" max="8449" width="9.140625" style="279"/>
    <col min="8450" max="8450" width="7.140625" style="279" customWidth="1"/>
    <col min="8451" max="8451" width="7.5703125" style="279" customWidth="1"/>
    <col min="8452" max="8452" width="8.85546875" style="279" customWidth="1"/>
    <col min="8453" max="8453" width="11.5703125" style="279" customWidth="1"/>
    <col min="8454" max="8454" width="9.140625" style="279"/>
    <col min="8455" max="8455" width="11.7109375" style="279" bestFit="1" customWidth="1"/>
    <col min="8456" max="8456" width="9.140625" style="279"/>
    <col min="8457" max="8458" width="11.7109375" style="279" bestFit="1" customWidth="1"/>
    <col min="8459" max="8699" width="9.140625" style="279"/>
    <col min="8700" max="8700" width="5.85546875" style="279" customWidth="1"/>
    <col min="8701" max="8701" width="10.5703125" style="279" customWidth="1"/>
    <col min="8702" max="8702" width="11.140625" style="279" customWidth="1"/>
    <col min="8703" max="8703" width="7.42578125" style="279" customWidth="1"/>
    <col min="8704" max="8704" width="8" style="279" customWidth="1"/>
    <col min="8705" max="8705" width="9.140625" style="279"/>
    <col min="8706" max="8706" width="7.140625" style="279" customWidth="1"/>
    <col min="8707" max="8707" width="7.5703125" style="279" customWidth="1"/>
    <col min="8708" max="8708" width="8.85546875" style="279" customWidth="1"/>
    <col min="8709" max="8709" width="11.5703125" style="279" customWidth="1"/>
    <col min="8710" max="8710" width="9.140625" style="279"/>
    <col min="8711" max="8711" width="11.7109375" style="279" bestFit="1" customWidth="1"/>
    <col min="8712" max="8712" width="9.140625" style="279"/>
    <col min="8713" max="8714" width="11.7109375" style="279" bestFit="1" customWidth="1"/>
    <col min="8715" max="8955" width="9.140625" style="279"/>
    <col min="8956" max="8956" width="5.85546875" style="279" customWidth="1"/>
    <col min="8957" max="8957" width="10.5703125" style="279" customWidth="1"/>
    <col min="8958" max="8958" width="11.140625" style="279" customWidth="1"/>
    <col min="8959" max="8959" width="7.42578125" style="279" customWidth="1"/>
    <col min="8960" max="8960" width="8" style="279" customWidth="1"/>
    <col min="8961" max="8961" width="9.140625" style="279"/>
    <col min="8962" max="8962" width="7.140625" style="279" customWidth="1"/>
    <col min="8963" max="8963" width="7.5703125" style="279" customWidth="1"/>
    <col min="8964" max="8964" width="8.85546875" style="279" customWidth="1"/>
    <col min="8965" max="8965" width="11.5703125" style="279" customWidth="1"/>
    <col min="8966" max="8966" width="9.140625" style="279"/>
    <col min="8967" max="8967" width="11.7109375" style="279" bestFit="1" customWidth="1"/>
    <col min="8968" max="8968" width="9.140625" style="279"/>
    <col min="8969" max="8970" width="11.7109375" style="279" bestFit="1" customWidth="1"/>
    <col min="8971" max="9211" width="9.140625" style="279"/>
    <col min="9212" max="9212" width="5.85546875" style="279" customWidth="1"/>
    <col min="9213" max="9213" width="10.5703125" style="279" customWidth="1"/>
    <col min="9214" max="9214" width="11.140625" style="279" customWidth="1"/>
    <col min="9215" max="9215" width="7.42578125" style="279" customWidth="1"/>
    <col min="9216" max="9216" width="8" style="279" customWidth="1"/>
    <col min="9217" max="9217" width="9.140625" style="279"/>
    <col min="9218" max="9218" width="7.140625" style="279" customWidth="1"/>
    <col min="9219" max="9219" width="7.5703125" style="279" customWidth="1"/>
    <col min="9220" max="9220" width="8.85546875" style="279" customWidth="1"/>
    <col min="9221" max="9221" width="11.5703125" style="279" customWidth="1"/>
    <col min="9222" max="9222" width="9.140625" style="279"/>
    <col min="9223" max="9223" width="11.7109375" style="279" bestFit="1" customWidth="1"/>
    <col min="9224" max="9224" width="9.140625" style="279"/>
    <col min="9225" max="9226" width="11.7109375" style="279" bestFit="1" customWidth="1"/>
    <col min="9227" max="9467" width="9.140625" style="279"/>
    <col min="9468" max="9468" width="5.85546875" style="279" customWidth="1"/>
    <col min="9469" max="9469" width="10.5703125" style="279" customWidth="1"/>
    <col min="9470" max="9470" width="11.140625" style="279" customWidth="1"/>
    <col min="9471" max="9471" width="7.42578125" style="279" customWidth="1"/>
    <col min="9472" max="9472" width="8" style="279" customWidth="1"/>
    <col min="9473" max="9473" width="9.140625" style="279"/>
    <col min="9474" max="9474" width="7.140625" style="279" customWidth="1"/>
    <col min="9475" max="9475" width="7.5703125" style="279" customWidth="1"/>
    <col min="9476" max="9476" width="8.85546875" style="279" customWidth="1"/>
    <col min="9477" max="9477" width="11.5703125" style="279" customWidth="1"/>
    <col min="9478" max="9478" width="9.140625" style="279"/>
    <col min="9479" max="9479" width="11.7109375" style="279" bestFit="1" customWidth="1"/>
    <col min="9480" max="9480" width="9.140625" style="279"/>
    <col min="9481" max="9482" width="11.7109375" style="279" bestFit="1" customWidth="1"/>
    <col min="9483" max="9723" width="9.140625" style="279"/>
    <col min="9724" max="9724" width="5.85546875" style="279" customWidth="1"/>
    <col min="9725" max="9725" width="10.5703125" style="279" customWidth="1"/>
    <col min="9726" max="9726" width="11.140625" style="279" customWidth="1"/>
    <col min="9727" max="9727" width="7.42578125" style="279" customWidth="1"/>
    <col min="9728" max="9728" width="8" style="279" customWidth="1"/>
    <col min="9729" max="9729" width="9.140625" style="279"/>
    <col min="9730" max="9730" width="7.140625" style="279" customWidth="1"/>
    <col min="9731" max="9731" width="7.5703125" style="279" customWidth="1"/>
    <col min="9732" max="9732" width="8.85546875" style="279" customWidth="1"/>
    <col min="9733" max="9733" width="11.5703125" style="279" customWidth="1"/>
    <col min="9734" max="9734" width="9.140625" style="279"/>
    <col min="9735" max="9735" width="11.7109375" style="279" bestFit="1" customWidth="1"/>
    <col min="9736" max="9736" width="9.140625" style="279"/>
    <col min="9737" max="9738" width="11.7109375" style="279" bestFit="1" customWidth="1"/>
    <col min="9739" max="9979" width="9.140625" style="279"/>
    <col min="9980" max="9980" width="5.85546875" style="279" customWidth="1"/>
    <col min="9981" max="9981" width="10.5703125" style="279" customWidth="1"/>
    <col min="9982" max="9982" width="11.140625" style="279" customWidth="1"/>
    <col min="9983" max="9983" width="7.42578125" style="279" customWidth="1"/>
    <col min="9984" max="9984" width="8" style="279" customWidth="1"/>
    <col min="9985" max="9985" width="9.140625" style="279"/>
    <col min="9986" max="9986" width="7.140625" style="279" customWidth="1"/>
    <col min="9987" max="9987" width="7.5703125" style="279" customWidth="1"/>
    <col min="9988" max="9988" width="8.85546875" style="279" customWidth="1"/>
    <col min="9989" max="9989" width="11.5703125" style="279" customWidth="1"/>
    <col min="9990" max="9990" width="9.140625" style="279"/>
    <col min="9991" max="9991" width="11.7109375" style="279" bestFit="1" customWidth="1"/>
    <col min="9992" max="9992" width="9.140625" style="279"/>
    <col min="9993" max="9994" width="11.7109375" style="279" bestFit="1" customWidth="1"/>
    <col min="9995" max="10235" width="9.140625" style="279"/>
    <col min="10236" max="10236" width="5.85546875" style="279" customWidth="1"/>
    <col min="10237" max="10237" width="10.5703125" style="279" customWidth="1"/>
    <col min="10238" max="10238" width="11.140625" style="279" customWidth="1"/>
    <col min="10239" max="10239" width="7.42578125" style="279" customWidth="1"/>
    <col min="10240" max="10240" width="8" style="279" customWidth="1"/>
    <col min="10241" max="10241" width="9.140625" style="279"/>
    <col min="10242" max="10242" width="7.140625" style="279" customWidth="1"/>
    <col min="10243" max="10243" width="7.5703125" style="279" customWidth="1"/>
    <col min="10244" max="10244" width="8.85546875" style="279" customWidth="1"/>
    <col min="10245" max="10245" width="11.5703125" style="279" customWidth="1"/>
    <col min="10246" max="10246" width="9.140625" style="279"/>
    <col min="10247" max="10247" width="11.7109375" style="279" bestFit="1" customWidth="1"/>
    <col min="10248" max="10248" width="9.140625" style="279"/>
    <col min="10249" max="10250" width="11.7109375" style="279" bestFit="1" customWidth="1"/>
    <col min="10251" max="10491" width="9.140625" style="279"/>
    <col min="10492" max="10492" width="5.85546875" style="279" customWidth="1"/>
    <col min="10493" max="10493" width="10.5703125" style="279" customWidth="1"/>
    <col min="10494" max="10494" width="11.140625" style="279" customWidth="1"/>
    <col min="10495" max="10495" width="7.42578125" style="279" customWidth="1"/>
    <col min="10496" max="10496" width="8" style="279" customWidth="1"/>
    <col min="10497" max="10497" width="9.140625" style="279"/>
    <col min="10498" max="10498" width="7.140625" style="279" customWidth="1"/>
    <col min="10499" max="10499" width="7.5703125" style="279" customWidth="1"/>
    <col min="10500" max="10500" width="8.85546875" style="279" customWidth="1"/>
    <col min="10501" max="10501" width="11.5703125" style="279" customWidth="1"/>
    <col min="10502" max="10502" width="9.140625" style="279"/>
    <col min="10503" max="10503" width="11.7109375" style="279" bestFit="1" customWidth="1"/>
    <col min="10504" max="10504" width="9.140625" style="279"/>
    <col min="10505" max="10506" width="11.7109375" style="279" bestFit="1" customWidth="1"/>
    <col min="10507" max="10747" width="9.140625" style="279"/>
    <col min="10748" max="10748" width="5.85546875" style="279" customWidth="1"/>
    <col min="10749" max="10749" width="10.5703125" style="279" customWidth="1"/>
    <col min="10750" max="10750" width="11.140625" style="279" customWidth="1"/>
    <col min="10751" max="10751" width="7.42578125" style="279" customWidth="1"/>
    <col min="10752" max="10752" width="8" style="279" customWidth="1"/>
    <col min="10753" max="10753" width="9.140625" style="279"/>
    <col min="10754" max="10754" width="7.140625" style="279" customWidth="1"/>
    <col min="10755" max="10755" width="7.5703125" style="279" customWidth="1"/>
    <col min="10756" max="10756" width="8.85546875" style="279" customWidth="1"/>
    <col min="10757" max="10757" width="11.5703125" style="279" customWidth="1"/>
    <col min="10758" max="10758" width="9.140625" style="279"/>
    <col min="10759" max="10759" width="11.7109375" style="279" bestFit="1" customWidth="1"/>
    <col min="10760" max="10760" width="9.140625" style="279"/>
    <col min="10761" max="10762" width="11.7109375" style="279" bestFit="1" customWidth="1"/>
    <col min="10763" max="11003" width="9.140625" style="279"/>
    <col min="11004" max="11004" width="5.85546875" style="279" customWidth="1"/>
    <col min="11005" max="11005" width="10.5703125" style="279" customWidth="1"/>
    <col min="11006" max="11006" width="11.140625" style="279" customWidth="1"/>
    <col min="11007" max="11007" width="7.42578125" style="279" customWidth="1"/>
    <col min="11008" max="11008" width="8" style="279" customWidth="1"/>
    <col min="11009" max="11009" width="9.140625" style="279"/>
    <col min="11010" max="11010" width="7.140625" style="279" customWidth="1"/>
    <col min="11011" max="11011" width="7.5703125" style="279" customWidth="1"/>
    <col min="11012" max="11012" width="8.85546875" style="279" customWidth="1"/>
    <col min="11013" max="11013" width="11.5703125" style="279" customWidth="1"/>
    <col min="11014" max="11014" width="9.140625" style="279"/>
    <col min="11015" max="11015" width="11.7109375" style="279" bestFit="1" customWidth="1"/>
    <col min="11016" max="11016" width="9.140625" style="279"/>
    <col min="11017" max="11018" width="11.7109375" style="279" bestFit="1" customWidth="1"/>
    <col min="11019" max="11259" width="9.140625" style="279"/>
    <col min="11260" max="11260" width="5.85546875" style="279" customWidth="1"/>
    <col min="11261" max="11261" width="10.5703125" style="279" customWidth="1"/>
    <col min="11262" max="11262" width="11.140625" style="279" customWidth="1"/>
    <col min="11263" max="11263" width="7.42578125" style="279" customWidth="1"/>
    <col min="11264" max="11264" width="8" style="279" customWidth="1"/>
    <col min="11265" max="11265" width="9.140625" style="279"/>
    <col min="11266" max="11266" width="7.140625" style="279" customWidth="1"/>
    <col min="11267" max="11267" width="7.5703125" style="279" customWidth="1"/>
    <col min="11268" max="11268" width="8.85546875" style="279" customWidth="1"/>
    <col min="11269" max="11269" width="11.5703125" style="279" customWidth="1"/>
    <col min="11270" max="11270" width="9.140625" style="279"/>
    <col min="11271" max="11271" width="11.7109375" style="279" bestFit="1" customWidth="1"/>
    <col min="11272" max="11272" width="9.140625" style="279"/>
    <col min="11273" max="11274" width="11.7109375" style="279" bestFit="1" customWidth="1"/>
    <col min="11275" max="11515" width="9.140625" style="279"/>
    <col min="11516" max="11516" width="5.85546875" style="279" customWidth="1"/>
    <col min="11517" max="11517" width="10.5703125" style="279" customWidth="1"/>
    <col min="11518" max="11518" width="11.140625" style="279" customWidth="1"/>
    <col min="11519" max="11519" width="7.42578125" style="279" customWidth="1"/>
    <col min="11520" max="11520" width="8" style="279" customWidth="1"/>
    <col min="11521" max="11521" width="9.140625" style="279"/>
    <col min="11522" max="11522" width="7.140625" style="279" customWidth="1"/>
    <col min="11523" max="11523" width="7.5703125" style="279" customWidth="1"/>
    <col min="11524" max="11524" width="8.85546875" style="279" customWidth="1"/>
    <col min="11525" max="11525" width="11.5703125" style="279" customWidth="1"/>
    <col min="11526" max="11526" width="9.140625" style="279"/>
    <col min="11527" max="11527" width="11.7109375" style="279" bestFit="1" customWidth="1"/>
    <col min="11528" max="11528" width="9.140625" style="279"/>
    <col min="11529" max="11530" width="11.7109375" style="279" bestFit="1" customWidth="1"/>
    <col min="11531" max="11771" width="9.140625" style="279"/>
    <col min="11772" max="11772" width="5.85546875" style="279" customWidth="1"/>
    <col min="11773" max="11773" width="10.5703125" style="279" customWidth="1"/>
    <col min="11774" max="11774" width="11.140625" style="279" customWidth="1"/>
    <col min="11775" max="11775" width="7.42578125" style="279" customWidth="1"/>
    <col min="11776" max="11776" width="8" style="279" customWidth="1"/>
    <col min="11777" max="11777" width="9.140625" style="279"/>
    <col min="11778" max="11778" width="7.140625" style="279" customWidth="1"/>
    <col min="11779" max="11779" width="7.5703125" style="279" customWidth="1"/>
    <col min="11780" max="11780" width="8.85546875" style="279" customWidth="1"/>
    <col min="11781" max="11781" width="11.5703125" style="279" customWidth="1"/>
    <col min="11782" max="11782" width="9.140625" style="279"/>
    <col min="11783" max="11783" width="11.7109375" style="279" bestFit="1" customWidth="1"/>
    <col min="11784" max="11784" width="9.140625" style="279"/>
    <col min="11785" max="11786" width="11.7109375" style="279" bestFit="1" customWidth="1"/>
    <col min="11787" max="12027" width="9.140625" style="279"/>
    <col min="12028" max="12028" width="5.85546875" style="279" customWidth="1"/>
    <col min="12029" max="12029" width="10.5703125" style="279" customWidth="1"/>
    <col min="12030" max="12030" width="11.140625" style="279" customWidth="1"/>
    <col min="12031" max="12031" width="7.42578125" style="279" customWidth="1"/>
    <col min="12032" max="12032" width="8" style="279" customWidth="1"/>
    <col min="12033" max="12033" width="9.140625" style="279"/>
    <col min="12034" max="12034" width="7.140625" style="279" customWidth="1"/>
    <col min="12035" max="12035" width="7.5703125" style="279" customWidth="1"/>
    <col min="12036" max="12036" width="8.85546875" style="279" customWidth="1"/>
    <col min="12037" max="12037" width="11.5703125" style="279" customWidth="1"/>
    <col min="12038" max="12038" width="9.140625" style="279"/>
    <col min="12039" max="12039" width="11.7109375" style="279" bestFit="1" customWidth="1"/>
    <col min="12040" max="12040" width="9.140625" style="279"/>
    <col min="12041" max="12042" width="11.7109375" style="279" bestFit="1" customWidth="1"/>
    <col min="12043" max="12283" width="9.140625" style="279"/>
    <col min="12284" max="12284" width="5.85546875" style="279" customWidth="1"/>
    <col min="12285" max="12285" width="10.5703125" style="279" customWidth="1"/>
    <col min="12286" max="12286" width="11.140625" style="279" customWidth="1"/>
    <col min="12287" max="12287" width="7.42578125" style="279" customWidth="1"/>
    <col min="12288" max="12288" width="8" style="279" customWidth="1"/>
    <col min="12289" max="12289" width="9.140625" style="279"/>
    <col min="12290" max="12290" width="7.140625" style="279" customWidth="1"/>
    <col min="12291" max="12291" width="7.5703125" style="279" customWidth="1"/>
    <col min="12292" max="12292" width="8.85546875" style="279" customWidth="1"/>
    <col min="12293" max="12293" width="11.5703125" style="279" customWidth="1"/>
    <col min="12294" max="12294" width="9.140625" style="279"/>
    <col min="12295" max="12295" width="11.7109375" style="279" bestFit="1" customWidth="1"/>
    <col min="12296" max="12296" width="9.140625" style="279"/>
    <col min="12297" max="12298" width="11.7109375" style="279" bestFit="1" customWidth="1"/>
    <col min="12299" max="12539" width="9.140625" style="279"/>
    <col min="12540" max="12540" width="5.85546875" style="279" customWidth="1"/>
    <col min="12541" max="12541" width="10.5703125" style="279" customWidth="1"/>
    <col min="12542" max="12542" width="11.140625" style="279" customWidth="1"/>
    <col min="12543" max="12543" width="7.42578125" style="279" customWidth="1"/>
    <col min="12544" max="12544" width="8" style="279" customWidth="1"/>
    <col min="12545" max="12545" width="9.140625" style="279"/>
    <col min="12546" max="12546" width="7.140625" style="279" customWidth="1"/>
    <col min="12547" max="12547" width="7.5703125" style="279" customWidth="1"/>
    <col min="12548" max="12548" width="8.85546875" style="279" customWidth="1"/>
    <col min="12549" max="12549" width="11.5703125" style="279" customWidth="1"/>
    <col min="12550" max="12550" width="9.140625" style="279"/>
    <col min="12551" max="12551" width="11.7109375" style="279" bestFit="1" customWidth="1"/>
    <col min="12552" max="12552" width="9.140625" style="279"/>
    <col min="12553" max="12554" width="11.7109375" style="279" bestFit="1" customWidth="1"/>
    <col min="12555" max="12795" width="9.140625" style="279"/>
    <col min="12796" max="12796" width="5.85546875" style="279" customWidth="1"/>
    <col min="12797" max="12797" width="10.5703125" style="279" customWidth="1"/>
    <col min="12798" max="12798" width="11.140625" style="279" customWidth="1"/>
    <col min="12799" max="12799" width="7.42578125" style="279" customWidth="1"/>
    <col min="12800" max="12800" width="8" style="279" customWidth="1"/>
    <col min="12801" max="12801" width="9.140625" style="279"/>
    <col min="12802" max="12802" width="7.140625" style="279" customWidth="1"/>
    <col min="12803" max="12803" width="7.5703125" style="279" customWidth="1"/>
    <col min="12804" max="12804" width="8.85546875" style="279" customWidth="1"/>
    <col min="12805" max="12805" width="11.5703125" style="279" customWidth="1"/>
    <col min="12806" max="12806" width="9.140625" style="279"/>
    <col min="12807" max="12807" width="11.7109375" style="279" bestFit="1" customWidth="1"/>
    <col min="12808" max="12808" width="9.140625" style="279"/>
    <col min="12809" max="12810" width="11.7109375" style="279" bestFit="1" customWidth="1"/>
    <col min="12811" max="13051" width="9.140625" style="279"/>
    <col min="13052" max="13052" width="5.85546875" style="279" customWidth="1"/>
    <col min="13053" max="13053" width="10.5703125" style="279" customWidth="1"/>
    <col min="13054" max="13054" width="11.140625" style="279" customWidth="1"/>
    <col min="13055" max="13055" width="7.42578125" style="279" customWidth="1"/>
    <col min="13056" max="13056" width="8" style="279" customWidth="1"/>
    <col min="13057" max="13057" width="9.140625" style="279"/>
    <col min="13058" max="13058" width="7.140625" style="279" customWidth="1"/>
    <col min="13059" max="13059" width="7.5703125" style="279" customWidth="1"/>
    <col min="13060" max="13060" width="8.85546875" style="279" customWidth="1"/>
    <col min="13061" max="13061" width="11.5703125" style="279" customWidth="1"/>
    <col min="13062" max="13062" width="9.140625" style="279"/>
    <col min="13063" max="13063" width="11.7109375" style="279" bestFit="1" customWidth="1"/>
    <col min="13064" max="13064" width="9.140625" style="279"/>
    <col min="13065" max="13066" width="11.7109375" style="279" bestFit="1" customWidth="1"/>
    <col min="13067" max="13307" width="9.140625" style="279"/>
    <col min="13308" max="13308" width="5.85546875" style="279" customWidth="1"/>
    <col min="13309" max="13309" width="10.5703125" style="279" customWidth="1"/>
    <col min="13310" max="13310" width="11.140625" style="279" customWidth="1"/>
    <col min="13311" max="13311" width="7.42578125" style="279" customWidth="1"/>
    <col min="13312" max="13312" width="8" style="279" customWidth="1"/>
    <col min="13313" max="13313" width="9.140625" style="279"/>
    <col min="13314" max="13314" width="7.140625" style="279" customWidth="1"/>
    <col min="13315" max="13315" width="7.5703125" style="279" customWidth="1"/>
    <col min="13316" max="13316" width="8.85546875" style="279" customWidth="1"/>
    <col min="13317" max="13317" width="11.5703125" style="279" customWidth="1"/>
    <col min="13318" max="13318" width="9.140625" style="279"/>
    <col min="13319" max="13319" width="11.7109375" style="279" bestFit="1" customWidth="1"/>
    <col min="13320" max="13320" width="9.140625" style="279"/>
    <col min="13321" max="13322" width="11.7109375" style="279" bestFit="1" customWidth="1"/>
    <col min="13323" max="13563" width="9.140625" style="279"/>
    <col min="13564" max="13564" width="5.85546875" style="279" customWidth="1"/>
    <col min="13565" max="13565" width="10.5703125" style="279" customWidth="1"/>
    <col min="13566" max="13566" width="11.140625" style="279" customWidth="1"/>
    <col min="13567" max="13567" width="7.42578125" style="279" customWidth="1"/>
    <col min="13568" max="13568" width="8" style="279" customWidth="1"/>
    <col min="13569" max="13569" width="9.140625" style="279"/>
    <col min="13570" max="13570" width="7.140625" style="279" customWidth="1"/>
    <col min="13571" max="13571" width="7.5703125" style="279" customWidth="1"/>
    <col min="13572" max="13572" width="8.85546875" style="279" customWidth="1"/>
    <col min="13573" max="13573" width="11.5703125" style="279" customWidth="1"/>
    <col min="13574" max="13574" width="9.140625" style="279"/>
    <col min="13575" max="13575" width="11.7109375" style="279" bestFit="1" customWidth="1"/>
    <col min="13576" max="13576" width="9.140625" style="279"/>
    <col min="13577" max="13578" width="11.7109375" style="279" bestFit="1" customWidth="1"/>
    <col min="13579" max="13819" width="9.140625" style="279"/>
    <col min="13820" max="13820" width="5.85546875" style="279" customWidth="1"/>
    <col min="13821" max="13821" width="10.5703125" style="279" customWidth="1"/>
    <col min="13822" max="13822" width="11.140625" style="279" customWidth="1"/>
    <col min="13823" max="13823" width="7.42578125" style="279" customWidth="1"/>
    <col min="13824" max="13824" width="8" style="279" customWidth="1"/>
    <col min="13825" max="13825" width="9.140625" style="279"/>
    <col min="13826" max="13826" width="7.140625" style="279" customWidth="1"/>
    <col min="13827" max="13827" width="7.5703125" style="279" customWidth="1"/>
    <col min="13828" max="13828" width="8.85546875" style="279" customWidth="1"/>
    <col min="13829" max="13829" width="11.5703125" style="279" customWidth="1"/>
    <col min="13830" max="13830" width="9.140625" style="279"/>
    <col min="13831" max="13831" width="11.7109375" style="279" bestFit="1" customWidth="1"/>
    <col min="13832" max="13832" width="9.140625" style="279"/>
    <col min="13833" max="13834" width="11.7109375" style="279" bestFit="1" customWidth="1"/>
    <col min="13835" max="14075" width="9.140625" style="279"/>
    <col min="14076" max="14076" width="5.85546875" style="279" customWidth="1"/>
    <col min="14077" max="14077" width="10.5703125" style="279" customWidth="1"/>
    <col min="14078" max="14078" width="11.140625" style="279" customWidth="1"/>
    <col min="14079" max="14079" width="7.42578125" style="279" customWidth="1"/>
    <col min="14080" max="14080" width="8" style="279" customWidth="1"/>
    <col min="14081" max="14081" width="9.140625" style="279"/>
    <col min="14082" max="14082" width="7.140625" style="279" customWidth="1"/>
    <col min="14083" max="14083" width="7.5703125" style="279" customWidth="1"/>
    <col min="14084" max="14084" width="8.85546875" style="279" customWidth="1"/>
    <col min="14085" max="14085" width="11.5703125" style="279" customWidth="1"/>
    <col min="14086" max="14086" width="9.140625" style="279"/>
    <col min="14087" max="14087" width="11.7109375" style="279" bestFit="1" customWidth="1"/>
    <col min="14088" max="14088" width="9.140625" style="279"/>
    <col min="14089" max="14090" width="11.7109375" style="279" bestFit="1" customWidth="1"/>
    <col min="14091" max="14331" width="9.140625" style="279"/>
    <col min="14332" max="14332" width="5.85546875" style="279" customWidth="1"/>
    <col min="14333" max="14333" width="10.5703125" style="279" customWidth="1"/>
    <col min="14334" max="14334" width="11.140625" style="279" customWidth="1"/>
    <col min="14335" max="14335" width="7.42578125" style="279" customWidth="1"/>
    <col min="14336" max="14336" width="8" style="279" customWidth="1"/>
    <col min="14337" max="14337" width="9.140625" style="279"/>
    <col min="14338" max="14338" width="7.140625" style="279" customWidth="1"/>
    <col min="14339" max="14339" width="7.5703125" style="279" customWidth="1"/>
    <col min="14340" max="14340" width="8.85546875" style="279" customWidth="1"/>
    <col min="14341" max="14341" width="11.5703125" style="279" customWidth="1"/>
    <col min="14342" max="14342" width="9.140625" style="279"/>
    <col min="14343" max="14343" width="11.7109375" style="279" bestFit="1" customWidth="1"/>
    <col min="14344" max="14344" width="9.140625" style="279"/>
    <col min="14345" max="14346" width="11.7109375" style="279" bestFit="1" customWidth="1"/>
    <col min="14347" max="14587" width="9.140625" style="279"/>
    <col min="14588" max="14588" width="5.85546875" style="279" customWidth="1"/>
    <col min="14589" max="14589" width="10.5703125" style="279" customWidth="1"/>
    <col min="14590" max="14590" width="11.140625" style="279" customWidth="1"/>
    <col min="14591" max="14591" width="7.42578125" style="279" customWidth="1"/>
    <col min="14592" max="14592" width="8" style="279" customWidth="1"/>
    <col min="14593" max="14593" width="9.140625" style="279"/>
    <col min="14594" max="14594" width="7.140625" style="279" customWidth="1"/>
    <col min="14595" max="14595" width="7.5703125" style="279" customWidth="1"/>
    <col min="14596" max="14596" width="8.85546875" style="279" customWidth="1"/>
    <col min="14597" max="14597" width="11.5703125" style="279" customWidth="1"/>
    <col min="14598" max="14598" width="9.140625" style="279"/>
    <col min="14599" max="14599" width="11.7109375" style="279" bestFit="1" customWidth="1"/>
    <col min="14600" max="14600" width="9.140625" style="279"/>
    <col min="14601" max="14602" width="11.7109375" style="279" bestFit="1" customWidth="1"/>
    <col min="14603" max="14843" width="9.140625" style="279"/>
    <col min="14844" max="14844" width="5.85546875" style="279" customWidth="1"/>
    <col min="14845" max="14845" width="10.5703125" style="279" customWidth="1"/>
    <col min="14846" max="14846" width="11.140625" style="279" customWidth="1"/>
    <col min="14847" max="14847" width="7.42578125" style="279" customWidth="1"/>
    <col min="14848" max="14848" width="8" style="279" customWidth="1"/>
    <col min="14849" max="14849" width="9.140625" style="279"/>
    <col min="14850" max="14850" width="7.140625" style="279" customWidth="1"/>
    <col min="14851" max="14851" width="7.5703125" style="279" customWidth="1"/>
    <col min="14852" max="14852" width="8.85546875" style="279" customWidth="1"/>
    <col min="14853" max="14853" width="11.5703125" style="279" customWidth="1"/>
    <col min="14854" max="14854" width="9.140625" style="279"/>
    <col min="14855" max="14855" width="11.7109375" style="279" bestFit="1" customWidth="1"/>
    <col min="14856" max="14856" width="9.140625" style="279"/>
    <col min="14857" max="14858" width="11.7109375" style="279" bestFit="1" customWidth="1"/>
    <col min="14859" max="15099" width="9.140625" style="279"/>
    <col min="15100" max="15100" width="5.85546875" style="279" customWidth="1"/>
    <col min="15101" max="15101" width="10.5703125" style="279" customWidth="1"/>
    <col min="15102" max="15102" width="11.140625" style="279" customWidth="1"/>
    <col min="15103" max="15103" width="7.42578125" style="279" customWidth="1"/>
    <col min="15104" max="15104" width="8" style="279" customWidth="1"/>
    <col min="15105" max="15105" width="9.140625" style="279"/>
    <col min="15106" max="15106" width="7.140625" style="279" customWidth="1"/>
    <col min="15107" max="15107" width="7.5703125" style="279" customWidth="1"/>
    <col min="15108" max="15108" width="8.85546875" style="279" customWidth="1"/>
    <col min="15109" max="15109" width="11.5703125" style="279" customWidth="1"/>
    <col min="15110" max="15110" width="9.140625" style="279"/>
    <col min="15111" max="15111" width="11.7109375" style="279" bestFit="1" customWidth="1"/>
    <col min="15112" max="15112" width="9.140625" style="279"/>
    <col min="15113" max="15114" width="11.7109375" style="279" bestFit="1" customWidth="1"/>
    <col min="15115" max="15355" width="9.140625" style="279"/>
    <col min="15356" max="15356" width="5.85546875" style="279" customWidth="1"/>
    <col min="15357" max="15357" width="10.5703125" style="279" customWidth="1"/>
    <col min="15358" max="15358" width="11.140625" style="279" customWidth="1"/>
    <col min="15359" max="15359" width="7.42578125" style="279" customWidth="1"/>
    <col min="15360" max="15360" width="8" style="279" customWidth="1"/>
    <col min="15361" max="15361" width="9.140625" style="279"/>
    <col min="15362" max="15362" width="7.140625" style="279" customWidth="1"/>
    <col min="15363" max="15363" width="7.5703125" style="279" customWidth="1"/>
    <col min="15364" max="15364" width="8.85546875" style="279" customWidth="1"/>
    <col min="15365" max="15365" width="11.5703125" style="279" customWidth="1"/>
    <col min="15366" max="15366" width="9.140625" style="279"/>
    <col min="15367" max="15367" width="11.7109375" style="279" bestFit="1" customWidth="1"/>
    <col min="15368" max="15368" width="9.140625" style="279"/>
    <col min="15369" max="15370" width="11.7109375" style="279" bestFit="1" customWidth="1"/>
    <col min="15371" max="15611" width="9.140625" style="279"/>
    <col min="15612" max="15612" width="5.85546875" style="279" customWidth="1"/>
    <col min="15613" max="15613" width="10.5703125" style="279" customWidth="1"/>
    <col min="15614" max="15614" width="11.140625" style="279" customWidth="1"/>
    <col min="15615" max="15615" width="7.42578125" style="279" customWidth="1"/>
    <col min="15616" max="15616" width="8" style="279" customWidth="1"/>
    <col min="15617" max="15617" width="9.140625" style="279"/>
    <col min="15618" max="15618" width="7.140625" style="279" customWidth="1"/>
    <col min="15619" max="15619" width="7.5703125" style="279" customWidth="1"/>
    <col min="15620" max="15620" width="8.85546875" style="279" customWidth="1"/>
    <col min="15621" max="15621" width="11.5703125" style="279" customWidth="1"/>
    <col min="15622" max="15622" width="9.140625" style="279"/>
    <col min="15623" max="15623" width="11.7109375" style="279" bestFit="1" customWidth="1"/>
    <col min="15624" max="15624" width="9.140625" style="279"/>
    <col min="15625" max="15626" width="11.7109375" style="279" bestFit="1" customWidth="1"/>
    <col min="15627" max="15867" width="9.140625" style="279"/>
    <col min="15868" max="15868" width="5.85546875" style="279" customWidth="1"/>
    <col min="15869" max="15869" width="10.5703125" style="279" customWidth="1"/>
    <col min="15870" max="15870" width="11.140625" style="279" customWidth="1"/>
    <col min="15871" max="15871" width="7.42578125" style="279" customWidth="1"/>
    <col min="15872" max="15872" width="8" style="279" customWidth="1"/>
    <col min="15873" max="15873" width="9.140625" style="279"/>
    <col min="15874" max="15874" width="7.140625" style="279" customWidth="1"/>
    <col min="15875" max="15875" width="7.5703125" style="279" customWidth="1"/>
    <col min="15876" max="15876" width="8.85546875" style="279" customWidth="1"/>
    <col min="15877" max="15877" width="11.5703125" style="279" customWidth="1"/>
    <col min="15878" max="15878" width="9.140625" style="279"/>
    <col min="15879" max="15879" width="11.7109375" style="279" bestFit="1" customWidth="1"/>
    <col min="15880" max="15880" width="9.140625" style="279"/>
    <col min="15881" max="15882" width="11.7109375" style="279" bestFit="1" customWidth="1"/>
    <col min="15883" max="16123" width="9.140625" style="279"/>
    <col min="16124" max="16124" width="5.85546875" style="279" customWidth="1"/>
    <col min="16125" max="16125" width="10.5703125" style="279" customWidth="1"/>
    <col min="16126" max="16126" width="11.140625" style="279" customWidth="1"/>
    <col min="16127" max="16127" width="7.42578125" style="279" customWidth="1"/>
    <col min="16128" max="16128" width="8" style="279" customWidth="1"/>
    <col min="16129" max="16129" width="9.140625" style="279"/>
    <col min="16130" max="16130" width="7.140625" style="279" customWidth="1"/>
    <col min="16131" max="16131" width="7.5703125" style="279" customWidth="1"/>
    <col min="16132" max="16132" width="8.85546875" style="279" customWidth="1"/>
    <col min="16133" max="16133" width="11.5703125" style="279" customWidth="1"/>
    <col min="16134" max="16134" width="9.140625" style="279"/>
    <col min="16135" max="16135" width="11.7109375" style="279" bestFit="1" customWidth="1"/>
    <col min="16136" max="16136" width="9.140625" style="279"/>
    <col min="16137" max="16138" width="11.7109375" style="279" bestFit="1" customWidth="1"/>
    <col min="16139" max="16384" width="9.140625" style="279"/>
  </cols>
  <sheetData>
    <row r="1" spans="1:10" x14ac:dyDescent="0.25">
      <c r="A1" s="1297" t="s">
        <v>608</v>
      </c>
      <c r="B1" s="1297"/>
      <c r="C1" s="1297"/>
      <c r="D1" s="1297"/>
      <c r="E1" s="1297"/>
      <c r="F1" s="1297"/>
      <c r="G1" s="1297"/>
      <c r="H1" s="1297"/>
    </row>
    <row r="3" spans="1:10" ht="15.75" x14ac:dyDescent="0.25">
      <c r="A3" s="1192" t="s">
        <v>384</v>
      </c>
      <c r="B3" s="1192"/>
      <c r="C3" s="1192"/>
      <c r="D3" s="1192"/>
      <c r="E3" s="1192"/>
      <c r="F3" s="1192"/>
      <c r="G3" s="1192"/>
      <c r="H3" s="1192"/>
    </row>
    <row r="4" spans="1:10" ht="15" customHeight="1" x14ac:dyDescent="0.25">
      <c r="A4" s="1144" t="str">
        <f>'СВОД смет'!A7:H7</f>
        <v>на 2020 год</v>
      </c>
      <c r="B4" s="1144"/>
      <c r="C4" s="1144"/>
      <c r="D4" s="1144"/>
      <c r="E4" s="1144"/>
      <c r="F4" s="1144"/>
      <c r="G4" s="1144"/>
      <c r="H4" s="1144"/>
    </row>
    <row r="5" spans="1:10" ht="15" customHeight="1" x14ac:dyDescent="0.25"/>
    <row r="6" spans="1:10" x14ac:dyDescent="0.25">
      <c r="A6" s="1299" t="s">
        <v>509</v>
      </c>
      <c r="B6" s="1299"/>
      <c r="C6" s="1299"/>
      <c r="D6" s="1299"/>
      <c r="E6" s="1299"/>
      <c r="F6" s="1299"/>
      <c r="G6" s="1299"/>
      <c r="H6" s="1299"/>
    </row>
    <row r="7" spans="1:10" ht="24" customHeight="1" x14ac:dyDescent="0.25">
      <c r="A7" s="500" t="s">
        <v>258</v>
      </c>
      <c r="B7" s="733" t="s">
        <v>492</v>
      </c>
      <c r="C7" s="500" t="s">
        <v>343</v>
      </c>
      <c r="D7" s="501" t="s">
        <v>389</v>
      </c>
      <c r="E7" s="501" t="s">
        <v>588</v>
      </c>
      <c r="F7" s="733" t="s">
        <v>589</v>
      </c>
      <c r="G7" s="657" t="s">
        <v>536</v>
      </c>
      <c r="H7" s="501" t="s">
        <v>402</v>
      </c>
    </row>
    <row r="8" spans="1:10" x14ac:dyDescent="0.25">
      <c r="A8" s="499">
        <v>1</v>
      </c>
      <c r="B8" s="732">
        <v>2</v>
      </c>
      <c r="C8" s="499">
        <v>3</v>
      </c>
      <c r="D8" s="499">
        <v>4</v>
      </c>
      <c r="E8" s="499">
        <v>5</v>
      </c>
      <c r="F8" s="732">
        <v>6</v>
      </c>
      <c r="G8" s="499">
        <v>7</v>
      </c>
      <c r="H8" s="499">
        <v>8</v>
      </c>
    </row>
    <row r="9" spans="1:10" ht="51" customHeight="1" x14ac:dyDescent="0.25">
      <c r="A9" s="426">
        <v>1</v>
      </c>
      <c r="B9" s="750" t="s">
        <v>670</v>
      </c>
      <c r="C9" s="502">
        <v>226</v>
      </c>
      <c r="D9" s="428" t="s">
        <v>362</v>
      </c>
      <c r="E9" s="503"/>
      <c r="F9" s="757">
        <v>15000</v>
      </c>
      <c r="G9" s="429">
        <f>E9*F9</f>
        <v>0</v>
      </c>
      <c r="H9" s="430">
        <f>ROUND(G9/1000,1)</f>
        <v>0</v>
      </c>
      <c r="J9" s="526"/>
    </row>
    <row r="10" spans="1:10" ht="37.5" customHeight="1" x14ac:dyDescent="0.25">
      <c r="A10" s="426">
        <v>2</v>
      </c>
      <c r="B10" s="750" t="s">
        <v>700</v>
      </c>
      <c r="C10" s="502">
        <v>226</v>
      </c>
      <c r="D10" s="428" t="s">
        <v>362</v>
      </c>
      <c r="E10" s="503"/>
      <c r="F10" s="757">
        <v>35000</v>
      </c>
      <c r="G10" s="429">
        <f>E10*F10</f>
        <v>0</v>
      </c>
      <c r="H10" s="430">
        <f>ROUND(G10/1000,1)</f>
        <v>0</v>
      </c>
      <c r="J10" s="583"/>
    </row>
    <row r="11" spans="1:10" x14ac:dyDescent="0.25">
      <c r="A11" s="1157" t="s">
        <v>409</v>
      </c>
      <c r="B11" s="1158"/>
      <c r="C11" s="1158"/>
      <c r="D11" s="1158"/>
      <c r="E11" s="1158"/>
      <c r="F11" s="1158"/>
      <c r="G11" s="804">
        <f>SUM(G10:G10)</f>
        <v>0</v>
      </c>
      <c r="H11" s="431">
        <f>SUM(H9:H10)</f>
        <v>0</v>
      </c>
    </row>
    <row r="12" spans="1:10" x14ac:dyDescent="0.25">
      <c r="A12" s="179"/>
      <c r="B12" s="179"/>
      <c r="C12" s="179"/>
      <c r="D12" s="179"/>
      <c r="E12" s="179"/>
      <c r="F12" s="179"/>
      <c r="G12" s="179"/>
      <c r="H12" s="179"/>
    </row>
    <row r="14" spans="1:10" x14ac:dyDescent="0.25">
      <c r="A14" s="1298" t="s">
        <v>397</v>
      </c>
      <c r="B14" s="1298"/>
      <c r="C14" s="168"/>
      <c r="D14" s="1151"/>
      <c r="E14" s="1151"/>
      <c r="G14" s="1151" t="str">
        <f>рВДЛ!G32</f>
        <v>М.В. Златова</v>
      </c>
      <c r="H14" s="1151"/>
    </row>
    <row r="15" spans="1:10" x14ac:dyDescent="0.25">
      <c r="A15" s="1148" t="s">
        <v>329</v>
      </c>
      <c r="B15" s="1148"/>
      <c r="C15" s="169"/>
      <c r="D15" s="1149" t="s">
        <v>330</v>
      </c>
      <c r="E15" s="1149"/>
      <c r="G15" s="1149" t="s">
        <v>331</v>
      </c>
      <c r="H15" s="1149"/>
    </row>
    <row r="16" spans="1:10" x14ac:dyDescent="0.25">
      <c r="A16" s="1298" t="str">
        <f>[1]расчВДЛ!A25</f>
        <v>Исполнитель: финансист</v>
      </c>
      <c r="B16" s="1298"/>
      <c r="C16" s="168"/>
      <c r="D16" s="1151"/>
      <c r="E16" s="1151"/>
      <c r="G16" s="1151" t="str">
        <f>[1]расчВДЛ!H25</f>
        <v>Е.Н. Рыбалка</v>
      </c>
      <c r="H16" s="1151"/>
    </row>
    <row r="17" spans="1:8" x14ac:dyDescent="0.25">
      <c r="A17" s="1148" t="s">
        <v>329</v>
      </c>
      <c r="B17" s="1148"/>
      <c r="C17" s="169"/>
      <c r="D17" s="1149" t="s">
        <v>330</v>
      </c>
      <c r="E17" s="1149"/>
      <c r="G17" s="1149" t="s">
        <v>331</v>
      </c>
      <c r="H17" s="1149"/>
    </row>
  </sheetData>
  <mergeCells count="17">
    <mergeCell ref="A1:H1"/>
    <mergeCell ref="A3:H3"/>
    <mergeCell ref="A4:H4"/>
    <mergeCell ref="A6:H6"/>
    <mergeCell ref="A14:B14"/>
    <mergeCell ref="D14:E14"/>
    <mergeCell ref="G14:H14"/>
    <mergeCell ref="A11:F11"/>
    <mergeCell ref="A17:B17"/>
    <mergeCell ref="D17:E17"/>
    <mergeCell ref="G17:H17"/>
    <mergeCell ref="A15:B15"/>
    <mergeCell ref="D15:E15"/>
    <mergeCell ref="G15:H15"/>
    <mergeCell ref="A16:B16"/>
    <mergeCell ref="D16:E16"/>
    <mergeCell ref="G16:H1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67"/>
  <sheetViews>
    <sheetView showZeros="0" workbookViewId="0">
      <selection activeCell="H16" sqref="H16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2" width="9.140625" style="789"/>
    <col min="253" max="253" width="49.42578125" style="789" customWidth="1"/>
    <col min="254" max="255" width="3.5703125" style="789" customWidth="1"/>
    <col min="256" max="256" width="11.42578125" style="789" customWidth="1"/>
    <col min="257" max="259" width="5.7109375" style="789" customWidth="1"/>
    <col min="260" max="260" width="9" style="789" customWidth="1"/>
    <col min="261" max="261" width="18.7109375" style="789" customWidth="1"/>
    <col min="262" max="508" width="9.140625" style="789"/>
    <col min="509" max="509" width="49.42578125" style="789" customWidth="1"/>
    <col min="510" max="511" width="3.5703125" style="789" customWidth="1"/>
    <col min="512" max="512" width="11.42578125" style="789" customWidth="1"/>
    <col min="513" max="515" width="5.7109375" style="789" customWidth="1"/>
    <col min="516" max="516" width="9" style="789" customWidth="1"/>
    <col min="517" max="517" width="18.7109375" style="789" customWidth="1"/>
    <col min="518" max="764" width="9.140625" style="789"/>
    <col min="765" max="765" width="49.42578125" style="789" customWidth="1"/>
    <col min="766" max="767" width="3.5703125" style="789" customWidth="1"/>
    <col min="768" max="768" width="11.42578125" style="789" customWidth="1"/>
    <col min="769" max="771" width="5.7109375" style="789" customWidth="1"/>
    <col min="772" max="772" width="9" style="789" customWidth="1"/>
    <col min="773" max="773" width="18.7109375" style="789" customWidth="1"/>
    <col min="774" max="1020" width="9.140625" style="789"/>
    <col min="1021" max="1021" width="49.42578125" style="789" customWidth="1"/>
    <col min="1022" max="1023" width="3.5703125" style="789" customWidth="1"/>
    <col min="1024" max="1024" width="11.42578125" style="789" customWidth="1"/>
    <col min="1025" max="1027" width="5.7109375" style="789" customWidth="1"/>
    <col min="1028" max="1028" width="9" style="789" customWidth="1"/>
    <col min="1029" max="1029" width="18.7109375" style="789" customWidth="1"/>
    <col min="1030" max="1276" width="9.140625" style="789"/>
    <col min="1277" max="1277" width="49.42578125" style="789" customWidth="1"/>
    <col min="1278" max="1279" width="3.5703125" style="789" customWidth="1"/>
    <col min="1280" max="1280" width="11.42578125" style="789" customWidth="1"/>
    <col min="1281" max="1283" width="5.7109375" style="789" customWidth="1"/>
    <col min="1284" max="1284" width="9" style="789" customWidth="1"/>
    <col min="1285" max="1285" width="18.7109375" style="789" customWidth="1"/>
    <col min="1286" max="1532" width="9.140625" style="789"/>
    <col min="1533" max="1533" width="49.42578125" style="789" customWidth="1"/>
    <col min="1534" max="1535" width="3.5703125" style="789" customWidth="1"/>
    <col min="1536" max="1536" width="11.42578125" style="789" customWidth="1"/>
    <col min="1537" max="1539" width="5.7109375" style="789" customWidth="1"/>
    <col min="1540" max="1540" width="9" style="789" customWidth="1"/>
    <col min="1541" max="1541" width="18.7109375" style="789" customWidth="1"/>
    <col min="1542" max="1788" width="9.140625" style="789"/>
    <col min="1789" max="1789" width="49.42578125" style="789" customWidth="1"/>
    <col min="1790" max="1791" width="3.5703125" style="789" customWidth="1"/>
    <col min="1792" max="1792" width="11.42578125" style="789" customWidth="1"/>
    <col min="1793" max="1795" width="5.7109375" style="789" customWidth="1"/>
    <col min="1796" max="1796" width="9" style="789" customWidth="1"/>
    <col min="1797" max="1797" width="18.7109375" style="789" customWidth="1"/>
    <col min="1798" max="2044" width="9.140625" style="789"/>
    <col min="2045" max="2045" width="49.42578125" style="789" customWidth="1"/>
    <col min="2046" max="2047" width="3.5703125" style="789" customWidth="1"/>
    <col min="2048" max="2048" width="11.42578125" style="789" customWidth="1"/>
    <col min="2049" max="2051" width="5.7109375" style="789" customWidth="1"/>
    <col min="2052" max="2052" width="9" style="789" customWidth="1"/>
    <col min="2053" max="2053" width="18.7109375" style="789" customWidth="1"/>
    <col min="2054" max="2300" width="9.140625" style="789"/>
    <col min="2301" max="2301" width="49.42578125" style="789" customWidth="1"/>
    <col min="2302" max="2303" width="3.5703125" style="789" customWidth="1"/>
    <col min="2304" max="2304" width="11.42578125" style="789" customWidth="1"/>
    <col min="2305" max="2307" width="5.7109375" style="789" customWidth="1"/>
    <col min="2308" max="2308" width="9" style="789" customWidth="1"/>
    <col min="2309" max="2309" width="18.7109375" style="789" customWidth="1"/>
    <col min="2310" max="2556" width="9.140625" style="789"/>
    <col min="2557" max="2557" width="49.42578125" style="789" customWidth="1"/>
    <col min="2558" max="2559" width="3.5703125" style="789" customWidth="1"/>
    <col min="2560" max="2560" width="11.42578125" style="789" customWidth="1"/>
    <col min="2561" max="2563" width="5.7109375" style="789" customWidth="1"/>
    <col min="2564" max="2564" width="9" style="789" customWidth="1"/>
    <col min="2565" max="2565" width="18.7109375" style="789" customWidth="1"/>
    <col min="2566" max="2812" width="9.140625" style="789"/>
    <col min="2813" max="2813" width="49.42578125" style="789" customWidth="1"/>
    <col min="2814" max="2815" width="3.5703125" style="789" customWidth="1"/>
    <col min="2816" max="2816" width="11.42578125" style="789" customWidth="1"/>
    <col min="2817" max="2819" width="5.7109375" style="789" customWidth="1"/>
    <col min="2820" max="2820" width="9" style="789" customWidth="1"/>
    <col min="2821" max="2821" width="18.7109375" style="789" customWidth="1"/>
    <col min="2822" max="3068" width="9.140625" style="789"/>
    <col min="3069" max="3069" width="49.42578125" style="789" customWidth="1"/>
    <col min="3070" max="3071" width="3.5703125" style="789" customWidth="1"/>
    <col min="3072" max="3072" width="11.42578125" style="789" customWidth="1"/>
    <col min="3073" max="3075" width="5.7109375" style="789" customWidth="1"/>
    <col min="3076" max="3076" width="9" style="789" customWidth="1"/>
    <col min="3077" max="3077" width="18.7109375" style="789" customWidth="1"/>
    <col min="3078" max="3324" width="9.140625" style="789"/>
    <col min="3325" max="3325" width="49.42578125" style="789" customWidth="1"/>
    <col min="3326" max="3327" width="3.5703125" style="789" customWidth="1"/>
    <col min="3328" max="3328" width="11.42578125" style="789" customWidth="1"/>
    <col min="3329" max="3331" width="5.7109375" style="789" customWidth="1"/>
    <col min="3332" max="3332" width="9" style="789" customWidth="1"/>
    <col min="3333" max="3333" width="18.7109375" style="789" customWidth="1"/>
    <col min="3334" max="3580" width="9.140625" style="789"/>
    <col min="3581" max="3581" width="49.42578125" style="789" customWidth="1"/>
    <col min="3582" max="3583" width="3.5703125" style="789" customWidth="1"/>
    <col min="3584" max="3584" width="11.42578125" style="789" customWidth="1"/>
    <col min="3585" max="3587" width="5.7109375" style="789" customWidth="1"/>
    <col min="3588" max="3588" width="9" style="789" customWidth="1"/>
    <col min="3589" max="3589" width="18.7109375" style="789" customWidth="1"/>
    <col min="3590" max="3836" width="9.140625" style="789"/>
    <col min="3837" max="3837" width="49.42578125" style="789" customWidth="1"/>
    <col min="3838" max="3839" width="3.5703125" style="789" customWidth="1"/>
    <col min="3840" max="3840" width="11.42578125" style="789" customWidth="1"/>
    <col min="3841" max="3843" width="5.7109375" style="789" customWidth="1"/>
    <col min="3844" max="3844" width="9" style="789" customWidth="1"/>
    <col min="3845" max="3845" width="18.7109375" style="789" customWidth="1"/>
    <col min="3846" max="4092" width="9.140625" style="789"/>
    <col min="4093" max="4093" width="49.42578125" style="789" customWidth="1"/>
    <col min="4094" max="4095" width="3.5703125" style="789" customWidth="1"/>
    <col min="4096" max="4096" width="11.42578125" style="789" customWidth="1"/>
    <col min="4097" max="4099" width="5.7109375" style="789" customWidth="1"/>
    <col min="4100" max="4100" width="9" style="789" customWidth="1"/>
    <col min="4101" max="4101" width="18.7109375" style="789" customWidth="1"/>
    <col min="4102" max="4348" width="9.140625" style="789"/>
    <col min="4349" max="4349" width="49.42578125" style="789" customWidth="1"/>
    <col min="4350" max="4351" width="3.5703125" style="789" customWidth="1"/>
    <col min="4352" max="4352" width="11.42578125" style="789" customWidth="1"/>
    <col min="4353" max="4355" width="5.7109375" style="789" customWidth="1"/>
    <col min="4356" max="4356" width="9" style="789" customWidth="1"/>
    <col min="4357" max="4357" width="18.7109375" style="789" customWidth="1"/>
    <col min="4358" max="4604" width="9.140625" style="789"/>
    <col min="4605" max="4605" width="49.42578125" style="789" customWidth="1"/>
    <col min="4606" max="4607" width="3.5703125" style="789" customWidth="1"/>
    <col min="4608" max="4608" width="11.42578125" style="789" customWidth="1"/>
    <col min="4609" max="4611" width="5.7109375" style="789" customWidth="1"/>
    <col min="4612" max="4612" width="9" style="789" customWidth="1"/>
    <col min="4613" max="4613" width="18.7109375" style="789" customWidth="1"/>
    <col min="4614" max="4860" width="9.140625" style="789"/>
    <col min="4861" max="4861" width="49.42578125" style="789" customWidth="1"/>
    <col min="4862" max="4863" width="3.5703125" style="789" customWidth="1"/>
    <col min="4864" max="4864" width="11.42578125" style="789" customWidth="1"/>
    <col min="4865" max="4867" width="5.7109375" style="789" customWidth="1"/>
    <col min="4868" max="4868" width="9" style="789" customWidth="1"/>
    <col min="4869" max="4869" width="18.7109375" style="789" customWidth="1"/>
    <col min="4870" max="5116" width="9.140625" style="789"/>
    <col min="5117" max="5117" width="49.42578125" style="789" customWidth="1"/>
    <col min="5118" max="5119" width="3.5703125" style="789" customWidth="1"/>
    <col min="5120" max="5120" width="11.42578125" style="789" customWidth="1"/>
    <col min="5121" max="5123" width="5.7109375" style="789" customWidth="1"/>
    <col min="5124" max="5124" width="9" style="789" customWidth="1"/>
    <col min="5125" max="5125" width="18.7109375" style="789" customWidth="1"/>
    <col min="5126" max="5372" width="9.140625" style="789"/>
    <col min="5373" max="5373" width="49.42578125" style="789" customWidth="1"/>
    <col min="5374" max="5375" width="3.5703125" style="789" customWidth="1"/>
    <col min="5376" max="5376" width="11.42578125" style="789" customWidth="1"/>
    <col min="5377" max="5379" width="5.7109375" style="789" customWidth="1"/>
    <col min="5380" max="5380" width="9" style="789" customWidth="1"/>
    <col min="5381" max="5381" width="18.7109375" style="789" customWidth="1"/>
    <col min="5382" max="5628" width="9.140625" style="789"/>
    <col min="5629" max="5629" width="49.42578125" style="789" customWidth="1"/>
    <col min="5630" max="5631" width="3.5703125" style="789" customWidth="1"/>
    <col min="5632" max="5632" width="11.42578125" style="789" customWidth="1"/>
    <col min="5633" max="5635" width="5.7109375" style="789" customWidth="1"/>
    <col min="5636" max="5636" width="9" style="789" customWidth="1"/>
    <col min="5637" max="5637" width="18.7109375" style="789" customWidth="1"/>
    <col min="5638" max="5884" width="9.140625" style="789"/>
    <col min="5885" max="5885" width="49.42578125" style="789" customWidth="1"/>
    <col min="5886" max="5887" width="3.5703125" style="789" customWidth="1"/>
    <col min="5888" max="5888" width="11.42578125" style="789" customWidth="1"/>
    <col min="5889" max="5891" width="5.7109375" style="789" customWidth="1"/>
    <col min="5892" max="5892" width="9" style="789" customWidth="1"/>
    <col min="5893" max="5893" width="18.7109375" style="789" customWidth="1"/>
    <col min="5894" max="6140" width="9.140625" style="789"/>
    <col min="6141" max="6141" width="49.42578125" style="789" customWidth="1"/>
    <col min="6142" max="6143" width="3.5703125" style="789" customWidth="1"/>
    <col min="6144" max="6144" width="11.42578125" style="789" customWidth="1"/>
    <col min="6145" max="6147" width="5.7109375" style="789" customWidth="1"/>
    <col min="6148" max="6148" width="9" style="789" customWidth="1"/>
    <col min="6149" max="6149" width="18.7109375" style="789" customWidth="1"/>
    <col min="6150" max="6396" width="9.140625" style="789"/>
    <col min="6397" max="6397" width="49.42578125" style="789" customWidth="1"/>
    <col min="6398" max="6399" width="3.5703125" style="789" customWidth="1"/>
    <col min="6400" max="6400" width="11.42578125" style="789" customWidth="1"/>
    <col min="6401" max="6403" width="5.7109375" style="789" customWidth="1"/>
    <col min="6404" max="6404" width="9" style="789" customWidth="1"/>
    <col min="6405" max="6405" width="18.7109375" style="789" customWidth="1"/>
    <col min="6406" max="6652" width="9.140625" style="789"/>
    <col min="6653" max="6653" width="49.42578125" style="789" customWidth="1"/>
    <col min="6654" max="6655" width="3.5703125" style="789" customWidth="1"/>
    <col min="6656" max="6656" width="11.42578125" style="789" customWidth="1"/>
    <col min="6657" max="6659" width="5.7109375" style="789" customWidth="1"/>
    <col min="6660" max="6660" width="9" style="789" customWidth="1"/>
    <col min="6661" max="6661" width="18.7109375" style="789" customWidth="1"/>
    <col min="6662" max="6908" width="9.140625" style="789"/>
    <col min="6909" max="6909" width="49.42578125" style="789" customWidth="1"/>
    <col min="6910" max="6911" width="3.5703125" style="789" customWidth="1"/>
    <col min="6912" max="6912" width="11.42578125" style="789" customWidth="1"/>
    <col min="6913" max="6915" width="5.7109375" style="789" customWidth="1"/>
    <col min="6916" max="6916" width="9" style="789" customWidth="1"/>
    <col min="6917" max="6917" width="18.7109375" style="789" customWidth="1"/>
    <col min="6918" max="7164" width="9.140625" style="789"/>
    <col min="7165" max="7165" width="49.42578125" style="789" customWidth="1"/>
    <col min="7166" max="7167" width="3.5703125" style="789" customWidth="1"/>
    <col min="7168" max="7168" width="11.42578125" style="789" customWidth="1"/>
    <col min="7169" max="7171" width="5.7109375" style="789" customWidth="1"/>
    <col min="7172" max="7172" width="9" style="789" customWidth="1"/>
    <col min="7173" max="7173" width="18.7109375" style="789" customWidth="1"/>
    <col min="7174" max="7420" width="9.140625" style="789"/>
    <col min="7421" max="7421" width="49.42578125" style="789" customWidth="1"/>
    <col min="7422" max="7423" width="3.5703125" style="789" customWidth="1"/>
    <col min="7424" max="7424" width="11.42578125" style="789" customWidth="1"/>
    <col min="7425" max="7427" width="5.7109375" style="789" customWidth="1"/>
    <col min="7428" max="7428" width="9" style="789" customWidth="1"/>
    <col min="7429" max="7429" width="18.7109375" style="789" customWidth="1"/>
    <col min="7430" max="7676" width="9.140625" style="789"/>
    <col min="7677" max="7677" width="49.42578125" style="789" customWidth="1"/>
    <col min="7678" max="7679" width="3.5703125" style="789" customWidth="1"/>
    <col min="7680" max="7680" width="11.42578125" style="789" customWidth="1"/>
    <col min="7681" max="7683" width="5.7109375" style="789" customWidth="1"/>
    <col min="7684" max="7684" width="9" style="789" customWidth="1"/>
    <col min="7685" max="7685" width="18.7109375" style="789" customWidth="1"/>
    <col min="7686" max="7932" width="9.140625" style="789"/>
    <col min="7933" max="7933" width="49.42578125" style="789" customWidth="1"/>
    <col min="7934" max="7935" width="3.5703125" style="789" customWidth="1"/>
    <col min="7936" max="7936" width="11.42578125" style="789" customWidth="1"/>
    <col min="7937" max="7939" width="5.7109375" style="789" customWidth="1"/>
    <col min="7940" max="7940" width="9" style="789" customWidth="1"/>
    <col min="7941" max="7941" width="18.7109375" style="789" customWidth="1"/>
    <col min="7942" max="8188" width="9.140625" style="789"/>
    <col min="8189" max="8189" width="49.42578125" style="789" customWidth="1"/>
    <col min="8190" max="8191" width="3.5703125" style="789" customWidth="1"/>
    <col min="8192" max="8192" width="11.42578125" style="789" customWidth="1"/>
    <col min="8193" max="8195" width="5.7109375" style="789" customWidth="1"/>
    <col min="8196" max="8196" width="9" style="789" customWidth="1"/>
    <col min="8197" max="8197" width="18.7109375" style="789" customWidth="1"/>
    <col min="8198" max="8444" width="9.140625" style="789"/>
    <col min="8445" max="8445" width="49.42578125" style="789" customWidth="1"/>
    <col min="8446" max="8447" width="3.5703125" style="789" customWidth="1"/>
    <col min="8448" max="8448" width="11.42578125" style="789" customWidth="1"/>
    <col min="8449" max="8451" width="5.7109375" style="789" customWidth="1"/>
    <col min="8452" max="8452" width="9" style="789" customWidth="1"/>
    <col min="8453" max="8453" width="18.7109375" style="789" customWidth="1"/>
    <col min="8454" max="8700" width="9.140625" style="789"/>
    <col min="8701" max="8701" width="49.42578125" style="789" customWidth="1"/>
    <col min="8702" max="8703" width="3.5703125" style="789" customWidth="1"/>
    <col min="8704" max="8704" width="11.42578125" style="789" customWidth="1"/>
    <col min="8705" max="8707" width="5.7109375" style="789" customWidth="1"/>
    <col min="8708" max="8708" width="9" style="789" customWidth="1"/>
    <col min="8709" max="8709" width="18.7109375" style="789" customWidth="1"/>
    <col min="8710" max="8956" width="9.140625" style="789"/>
    <col min="8957" max="8957" width="49.42578125" style="789" customWidth="1"/>
    <col min="8958" max="8959" width="3.5703125" style="789" customWidth="1"/>
    <col min="8960" max="8960" width="11.42578125" style="789" customWidth="1"/>
    <col min="8961" max="8963" width="5.7109375" style="789" customWidth="1"/>
    <col min="8964" max="8964" width="9" style="789" customWidth="1"/>
    <col min="8965" max="8965" width="18.7109375" style="789" customWidth="1"/>
    <col min="8966" max="9212" width="9.140625" style="789"/>
    <col min="9213" max="9213" width="49.42578125" style="789" customWidth="1"/>
    <col min="9214" max="9215" width="3.5703125" style="789" customWidth="1"/>
    <col min="9216" max="9216" width="11.42578125" style="789" customWidth="1"/>
    <col min="9217" max="9219" width="5.7109375" style="789" customWidth="1"/>
    <col min="9220" max="9220" width="9" style="789" customWidth="1"/>
    <col min="9221" max="9221" width="18.7109375" style="789" customWidth="1"/>
    <col min="9222" max="9468" width="9.140625" style="789"/>
    <col min="9469" max="9469" width="49.42578125" style="789" customWidth="1"/>
    <col min="9470" max="9471" width="3.5703125" style="789" customWidth="1"/>
    <col min="9472" max="9472" width="11.42578125" style="789" customWidth="1"/>
    <col min="9473" max="9475" width="5.7109375" style="789" customWidth="1"/>
    <col min="9476" max="9476" width="9" style="789" customWidth="1"/>
    <col min="9477" max="9477" width="18.7109375" style="789" customWidth="1"/>
    <col min="9478" max="9724" width="9.140625" style="789"/>
    <col min="9725" max="9725" width="49.42578125" style="789" customWidth="1"/>
    <col min="9726" max="9727" width="3.5703125" style="789" customWidth="1"/>
    <col min="9728" max="9728" width="11.42578125" style="789" customWidth="1"/>
    <col min="9729" max="9731" width="5.7109375" style="789" customWidth="1"/>
    <col min="9732" max="9732" width="9" style="789" customWidth="1"/>
    <col min="9733" max="9733" width="18.7109375" style="789" customWidth="1"/>
    <col min="9734" max="9980" width="9.140625" style="789"/>
    <col min="9981" max="9981" width="49.42578125" style="789" customWidth="1"/>
    <col min="9982" max="9983" width="3.5703125" style="789" customWidth="1"/>
    <col min="9984" max="9984" width="11.42578125" style="789" customWidth="1"/>
    <col min="9985" max="9987" width="5.7109375" style="789" customWidth="1"/>
    <col min="9988" max="9988" width="9" style="789" customWidth="1"/>
    <col min="9989" max="9989" width="18.7109375" style="789" customWidth="1"/>
    <col min="9990" max="10236" width="9.140625" style="789"/>
    <col min="10237" max="10237" width="49.42578125" style="789" customWidth="1"/>
    <col min="10238" max="10239" width="3.5703125" style="789" customWidth="1"/>
    <col min="10240" max="10240" width="11.42578125" style="789" customWidth="1"/>
    <col min="10241" max="10243" width="5.7109375" style="789" customWidth="1"/>
    <col min="10244" max="10244" width="9" style="789" customWidth="1"/>
    <col min="10245" max="10245" width="18.7109375" style="789" customWidth="1"/>
    <col min="10246" max="10492" width="9.140625" style="789"/>
    <col min="10493" max="10493" width="49.42578125" style="789" customWidth="1"/>
    <col min="10494" max="10495" width="3.5703125" style="789" customWidth="1"/>
    <col min="10496" max="10496" width="11.42578125" style="789" customWidth="1"/>
    <col min="10497" max="10499" width="5.7109375" style="789" customWidth="1"/>
    <col min="10500" max="10500" width="9" style="789" customWidth="1"/>
    <col min="10501" max="10501" width="18.7109375" style="789" customWidth="1"/>
    <col min="10502" max="10748" width="9.140625" style="789"/>
    <col min="10749" max="10749" width="49.42578125" style="789" customWidth="1"/>
    <col min="10750" max="10751" width="3.5703125" style="789" customWidth="1"/>
    <col min="10752" max="10752" width="11.42578125" style="789" customWidth="1"/>
    <col min="10753" max="10755" width="5.7109375" style="789" customWidth="1"/>
    <col min="10756" max="10756" width="9" style="789" customWidth="1"/>
    <col min="10757" max="10757" width="18.7109375" style="789" customWidth="1"/>
    <col min="10758" max="11004" width="9.140625" style="789"/>
    <col min="11005" max="11005" width="49.42578125" style="789" customWidth="1"/>
    <col min="11006" max="11007" width="3.5703125" style="789" customWidth="1"/>
    <col min="11008" max="11008" width="11.42578125" style="789" customWidth="1"/>
    <col min="11009" max="11011" width="5.7109375" style="789" customWidth="1"/>
    <col min="11012" max="11012" width="9" style="789" customWidth="1"/>
    <col min="11013" max="11013" width="18.7109375" style="789" customWidth="1"/>
    <col min="11014" max="11260" width="9.140625" style="789"/>
    <col min="11261" max="11261" width="49.42578125" style="789" customWidth="1"/>
    <col min="11262" max="11263" width="3.5703125" style="789" customWidth="1"/>
    <col min="11264" max="11264" width="11.42578125" style="789" customWidth="1"/>
    <col min="11265" max="11267" width="5.7109375" style="789" customWidth="1"/>
    <col min="11268" max="11268" width="9" style="789" customWidth="1"/>
    <col min="11269" max="11269" width="18.7109375" style="789" customWidth="1"/>
    <col min="11270" max="11516" width="9.140625" style="789"/>
    <col min="11517" max="11517" width="49.42578125" style="789" customWidth="1"/>
    <col min="11518" max="11519" width="3.5703125" style="789" customWidth="1"/>
    <col min="11520" max="11520" width="11.42578125" style="789" customWidth="1"/>
    <col min="11521" max="11523" width="5.7109375" style="789" customWidth="1"/>
    <col min="11524" max="11524" width="9" style="789" customWidth="1"/>
    <col min="11525" max="11525" width="18.7109375" style="789" customWidth="1"/>
    <col min="11526" max="11772" width="9.140625" style="789"/>
    <col min="11773" max="11773" width="49.42578125" style="789" customWidth="1"/>
    <col min="11774" max="11775" width="3.5703125" style="789" customWidth="1"/>
    <col min="11776" max="11776" width="11.42578125" style="789" customWidth="1"/>
    <col min="11777" max="11779" width="5.7109375" style="789" customWidth="1"/>
    <col min="11780" max="11780" width="9" style="789" customWidth="1"/>
    <col min="11781" max="11781" width="18.7109375" style="789" customWidth="1"/>
    <col min="11782" max="12028" width="9.140625" style="789"/>
    <col min="12029" max="12029" width="49.42578125" style="789" customWidth="1"/>
    <col min="12030" max="12031" width="3.5703125" style="789" customWidth="1"/>
    <col min="12032" max="12032" width="11.42578125" style="789" customWidth="1"/>
    <col min="12033" max="12035" width="5.7109375" style="789" customWidth="1"/>
    <col min="12036" max="12036" width="9" style="789" customWidth="1"/>
    <col min="12037" max="12037" width="18.7109375" style="789" customWidth="1"/>
    <col min="12038" max="12284" width="9.140625" style="789"/>
    <col min="12285" max="12285" width="49.42578125" style="789" customWidth="1"/>
    <col min="12286" max="12287" width="3.5703125" style="789" customWidth="1"/>
    <col min="12288" max="12288" width="11.42578125" style="789" customWidth="1"/>
    <col min="12289" max="12291" width="5.7109375" style="789" customWidth="1"/>
    <col min="12292" max="12292" width="9" style="789" customWidth="1"/>
    <col min="12293" max="12293" width="18.7109375" style="789" customWidth="1"/>
    <col min="12294" max="12540" width="9.140625" style="789"/>
    <col min="12541" max="12541" width="49.42578125" style="789" customWidth="1"/>
    <col min="12542" max="12543" width="3.5703125" style="789" customWidth="1"/>
    <col min="12544" max="12544" width="11.42578125" style="789" customWidth="1"/>
    <col min="12545" max="12547" width="5.7109375" style="789" customWidth="1"/>
    <col min="12548" max="12548" width="9" style="789" customWidth="1"/>
    <col min="12549" max="12549" width="18.7109375" style="789" customWidth="1"/>
    <col min="12550" max="12796" width="9.140625" style="789"/>
    <col min="12797" max="12797" width="49.42578125" style="789" customWidth="1"/>
    <col min="12798" max="12799" width="3.5703125" style="789" customWidth="1"/>
    <col min="12800" max="12800" width="11.42578125" style="789" customWidth="1"/>
    <col min="12801" max="12803" width="5.7109375" style="789" customWidth="1"/>
    <col min="12804" max="12804" width="9" style="789" customWidth="1"/>
    <col min="12805" max="12805" width="18.7109375" style="789" customWidth="1"/>
    <col min="12806" max="13052" width="9.140625" style="789"/>
    <col min="13053" max="13053" width="49.42578125" style="789" customWidth="1"/>
    <col min="13054" max="13055" width="3.5703125" style="789" customWidth="1"/>
    <col min="13056" max="13056" width="11.42578125" style="789" customWidth="1"/>
    <col min="13057" max="13059" width="5.7109375" style="789" customWidth="1"/>
    <col min="13060" max="13060" width="9" style="789" customWidth="1"/>
    <col min="13061" max="13061" width="18.7109375" style="789" customWidth="1"/>
    <col min="13062" max="13308" width="9.140625" style="789"/>
    <col min="13309" max="13309" width="49.42578125" style="789" customWidth="1"/>
    <col min="13310" max="13311" width="3.5703125" style="789" customWidth="1"/>
    <col min="13312" max="13312" width="11.42578125" style="789" customWidth="1"/>
    <col min="13313" max="13315" width="5.7109375" style="789" customWidth="1"/>
    <col min="13316" max="13316" width="9" style="789" customWidth="1"/>
    <col min="13317" max="13317" width="18.7109375" style="789" customWidth="1"/>
    <col min="13318" max="13564" width="9.140625" style="789"/>
    <col min="13565" max="13565" width="49.42578125" style="789" customWidth="1"/>
    <col min="13566" max="13567" width="3.5703125" style="789" customWidth="1"/>
    <col min="13568" max="13568" width="11.42578125" style="789" customWidth="1"/>
    <col min="13569" max="13571" width="5.7109375" style="789" customWidth="1"/>
    <col min="13572" max="13572" width="9" style="789" customWidth="1"/>
    <col min="13573" max="13573" width="18.7109375" style="789" customWidth="1"/>
    <col min="13574" max="13820" width="9.140625" style="789"/>
    <col min="13821" max="13821" width="49.42578125" style="789" customWidth="1"/>
    <col min="13822" max="13823" width="3.5703125" style="789" customWidth="1"/>
    <col min="13824" max="13824" width="11.42578125" style="789" customWidth="1"/>
    <col min="13825" max="13827" width="5.7109375" style="789" customWidth="1"/>
    <col min="13828" max="13828" width="9" style="789" customWidth="1"/>
    <col min="13829" max="13829" width="18.7109375" style="789" customWidth="1"/>
    <col min="13830" max="14076" width="9.140625" style="789"/>
    <col min="14077" max="14077" width="49.42578125" style="789" customWidth="1"/>
    <col min="14078" max="14079" width="3.5703125" style="789" customWidth="1"/>
    <col min="14080" max="14080" width="11.42578125" style="789" customWidth="1"/>
    <col min="14081" max="14083" width="5.7109375" style="789" customWidth="1"/>
    <col min="14084" max="14084" width="9" style="789" customWidth="1"/>
    <col min="14085" max="14085" width="18.7109375" style="789" customWidth="1"/>
    <col min="14086" max="14332" width="9.140625" style="789"/>
    <col min="14333" max="14333" width="49.42578125" style="789" customWidth="1"/>
    <col min="14334" max="14335" width="3.5703125" style="789" customWidth="1"/>
    <col min="14336" max="14336" width="11.42578125" style="789" customWidth="1"/>
    <col min="14337" max="14339" width="5.7109375" style="789" customWidth="1"/>
    <col min="14340" max="14340" width="9" style="789" customWidth="1"/>
    <col min="14341" max="14341" width="18.7109375" style="789" customWidth="1"/>
    <col min="14342" max="14588" width="9.140625" style="789"/>
    <col min="14589" max="14589" width="49.42578125" style="789" customWidth="1"/>
    <col min="14590" max="14591" width="3.5703125" style="789" customWidth="1"/>
    <col min="14592" max="14592" width="11.42578125" style="789" customWidth="1"/>
    <col min="14593" max="14595" width="5.7109375" style="789" customWidth="1"/>
    <col min="14596" max="14596" width="9" style="789" customWidth="1"/>
    <col min="14597" max="14597" width="18.7109375" style="789" customWidth="1"/>
    <col min="14598" max="14844" width="9.140625" style="789"/>
    <col min="14845" max="14845" width="49.42578125" style="789" customWidth="1"/>
    <col min="14846" max="14847" width="3.5703125" style="789" customWidth="1"/>
    <col min="14848" max="14848" width="11.42578125" style="789" customWidth="1"/>
    <col min="14849" max="14851" width="5.7109375" style="789" customWidth="1"/>
    <col min="14852" max="14852" width="9" style="789" customWidth="1"/>
    <col min="14853" max="14853" width="18.7109375" style="789" customWidth="1"/>
    <col min="14854" max="15100" width="9.140625" style="789"/>
    <col min="15101" max="15101" width="49.42578125" style="789" customWidth="1"/>
    <col min="15102" max="15103" width="3.5703125" style="789" customWidth="1"/>
    <col min="15104" max="15104" width="11.42578125" style="789" customWidth="1"/>
    <col min="15105" max="15107" width="5.7109375" style="789" customWidth="1"/>
    <col min="15108" max="15108" width="9" style="789" customWidth="1"/>
    <col min="15109" max="15109" width="18.7109375" style="789" customWidth="1"/>
    <col min="15110" max="15356" width="9.140625" style="789"/>
    <col min="15357" max="15357" width="49.42578125" style="789" customWidth="1"/>
    <col min="15358" max="15359" width="3.5703125" style="789" customWidth="1"/>
    <col min="15360" max="15360" width="11.42578125" style="789" customWidth="1"/>
    <col min="15361" max="15363" width="5.7109375" style="789" customWidth="1"/>
    <col min="15364" max="15364" width="9" style="789" customWidth="1"/>
    <col min="15365" max="15365" width="18.7109375" style="789" customWidth="1"/>
    <col min="15366" max="15612" width="9.140625" style="789"/>
    <col min="15613" max="15613" width="49.42578125" style="789" customWidth="1"/>
    <col min="15614" max="15615" width="3.5703125" style="789" customWidth="1"/>
    <col min="15616" max="15616" width="11.42578125" style="789" customWidth="1"/>
    <col min="15617" max="15619" width="5.7109375" style="789" customWidth="1"/>
    <col min="15620" max="15620" width="9" style="789" customWidth="1"/>
    <col min="15621" max="15621" width="18.7109375" style="789" customWidth="1"/>
    <col min="15622" max="15868" width="9.140625" style="789"/>
    <col min="15869" max="15869" width="49.42578125" style="789" customWidth="1"/>
    <col min="15870" max="15871" width="3.5703125" style="789" customWidth="1"/>
    <col min="15872" max="15872" width="11.42578125" style="789" customWidth="1"/>
    <col min="15873" max="15875" width="5.7109375" style="789" customWidth="1"/>
    <col min="15876" max="15876" width="9" style="789" customWidth="1"/>
    <col min="15877" max="15877" width="18.7109375" style="789" customWidth="1"/>
    <col min="15878" max="16124" width="9.140625" style="789"/>
    <col min="16125" max="16125" width="49.42578125" style="789" customWidth="1"/>
    <col min="16126" max="16127" width="3.5703125" style="789" customWidth="1"/>
    <col min="16128" max="16128" width="11.42578125" style="789" customWidth="1"/>
    <col min="16129" max="16131" width="5.7109375" style="789" customWidth="1"/>
    <col min="16132" max="16132" width="9" style="789" customWidth="1"/>
    <col min="16133" max="16133" width="18.7109375" style="789" customWidth="1"/>
    <col min="16134" max="16384" width="9.140625" style="789"/>
  </cols>
  <sheetData>
    <row r="1" spans="1:9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9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</row>
    <row r="3" spans="1:9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</row>
    <row r="4" spans="1:9" s="829" customFormat="1" ht="17.25" customHeight="1" x14ac:dyDescent="0.2">
      <c r="D4" s="1141"/>
      <c r="E4" s="1141"/>
      <c r="F4" s="1141" t="s">
        <v>880</v>
      </c>
      <c r="G4" s="1141"/>
      <c r="H4" s="1141"/>
      <c r="I4" s="837"/>
    </row>
    <row r="5" spans="1:9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9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7"/>
    </row>
    <row r="7" spans="1:9" s="829" customFormat="1" ht="15" customHeight="1" x14ac:dyDescent="0.2">
      <c r="A7" s="1131" t="s">
        <v>710</v>
      </c>
      <c r="B7" s="1131"/>
      <c r="C7" s="1131"/>
      <c r="D7" s="1131"/>
      <c r="E7" s="1131"/>
      <c r="F7" s="1131"/>
      <c r="G7" s="1131"/>
      <c r="H7" s="1131"/>
      <c r="I7" s="837"/>
    </row>
    <row r="8" spans="1:9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7"/>
    </row>
    <row r="9" spans="1:9" s="829" customFormat="1" ht="13.5" customHeight="1" x14ac:dyDescent="0.2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</row>
    <row r="10" spans="1:9" s="829" customFormat="1" ht="13.5" customHeight="1" x14ac:dyDescent="0.2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</row>
    <row r="11" spans="1:9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37"/>
    </row>
    <row r="12" spans="1:9" s="179" customFormat="1" x14ac:dyDescent="0.25">
      <c r="A12" s="905" t="s">
        <v>383</v>
      </c>
      <c r="I12" s="638"/>
    </row>
    <row r="13" spans="1:9" s="179" customFormat="1" ht="6" customHeight="1" x14ac:dyDescent="0.2">
      <c r="E13" s="842"/>
      <c r="F13" s="842"/>
      <c r="G13" s="842"/>
      <c r="H13" s="842"/>
      <c r="I13" s="638"/>
    </row>
    <row r="14" spans="1:9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9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</row>
    <row r="16" spans="1:9" x14ac:dyDescent="0.25">
      <c r="A16" s="564" t="s">
        <v>640</v>
      </c>
      <c r="B16" s="176"/>
      <c r="C16" s="176"/>
      <c r="D16" s="176"/>
      <c r="E16" s="176"/>
      <c r="F16" s="557" t="s">
        <v>126</v>
      </c>
      <c r="G16" s="557"/>
      <c r="H16" s="576">
        <f>H17+H24+H44+H46+H48+H52+сРезерв!H16</f>
        <v>32092.6</v>
      </c>
      <c r="I16" s="638">
        <f>сВДЛ!I16+сДеп!I16+сКомУсл!I16+сЗП!I16+сАУП!I16+сКСП!I16+сВыборы!I16+сРезерв!I16+сДругие!I16+сПВУ!I16+сГОиЧС!I16+сДороги!I16+сНацЭкон!I16+сЖилфонд!I16+сКомХоз!I16+сБлагоуст!I16+сРитуал!I16+сПенс!I16+сНадгроб!I16</f>
        <v>10000</v>
      </c>
    </row>
    <row r="17" spans="1:9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11955.5</v>
      </c>
      <c r="I17" s="638">
        <f>сВДЛ!I17+сДеп!I17+сКомУсл!I17+сЗП!I17+сАУП!I17+сКСП!I17+сВыборы!I17+сРезерв!I17+сДругие!I17+сПВУ!I17+сГОиЧС!I17+сДороги!I17+сНацЭкон!I17+сЖилфонд!I17+сКомХоз!I17+сБлагоуст!I17+сРитуал!I17+сПенс!I17+сНадгроб!I17</f>
        <v>0</v>
      </c>
    </row>
    <row r="18" spans="1:9" x14ac:dyDescent="0.25">
      <c r="A18" s="566" t="s">
        <v>346</v>
      </c>
      <c r="B18" s="848"/>
      <c r="C18" s="848"/>
      <c r="D18" s="848"/>
      <c r="E18" s="854"/>
      <c r="F18" s="559">
        <v>211</v>
      </c>
      <c r="G18" s="559"/>
      <c r="H18" s="850">
        <f>сВДЛ!H18+сДеп!H18+сКомУсл!H18+сЗП!H18+сАУП!H18+сКСП!H18+сВыборы!H18+сРезерв!H18+сДругие!H18+сПВУ!H18+сГОиЧС!H18+сДороги!H18+сНацЭкон!H18+сЖилфонд!H18+сКомХоз!H18+сБлагоуст!H18+сРитуал!H18+сПенс!H18+сНадгроб!H18</f>
        <v>9169.5</v>
      </c>
      <c r="I18" s="638">
        <f>сВДЛ!I18+сДеп!I18+сКомУсл!I18+сЗП!I18+сАУП!I18+сКСП!I18+сВыборы!I18+сРезерв!I18+сДругие!I18+сПВУ!I18+сГОиЧС!I18+сДороги!I18+сНацЭкон!I18+сЖилфонд!I18+сКомХоз!I18+сБлагоуст!I18+сРитуал!I18+сПенс!I18+сНадгроб!I18</f>
        <v>0</v>
      </c>
    </row>
    <row r="19" spans="1:9" x14ac:dyDescent="0.25">
      <c r="A19" s="566" t="s">
        <v>642</v>
      </c>
      <c r="B19" s="848"/>
      <c r="C19" s="848"/>
      <c r="D19" s="848"/>
      <c r="E19" s="848"/>
      <c r="F19" s="559">
        <v>212</v>
      </c>
      <c r="G19" s="559"/>
      <c r="H19" s="850">
        <f>H20</f>
        <v>26</v>
      </c>
      <c r="I19" s="638">
        <f>сВДЛ!I19+сДеп!I19+сКомУсл!I19+сЗП!I19+сАУП!I19+сКСП!I19+сВыборы!I19+сРезерв!I19+сДругие!I19+сПВУ!I19+сГОиЧС!I19+сДороги!I19+сНацЭкон!I19+сЖилфонд!I19+сКомХоз!I19+сБлагоуст!I19+сРитуал!I19+сПенс!I19+сНадгроб!I19</f>
        <v>0</v>
      </c>
    </row>
    <row r="20" spans="1:9" x14ac:dyDescent="0.25">
      <c r="A20" s="567" t="s">
        <v>347</v>
      </c>
      <c r="B20" s="852"/>
      <c r="C20" s="852"/>
      <c r="D20" s="852"/>
      <c r="E20" s="852"/>
      <c r="F20" s="560">
        <v>212</v>
      </c>
      <c r="G20" s="560">
        <v>610</v>
      </c>
      <c r="H20" s="281">
        <f>сВДЛ!H20+сДеп!H20+сКомУсл!H20+сЗП!H20+сАУП!H20+сКСП!H20+сВыборы!H20+сРезерв!H20+сДругие!H20+сПВУ!H20+сГОиЧС!H20+сДороги!H20+сНацЭкон!H20+сЖилфонд!H20+сКомХоз!H20+сБлагоуст!H20+сРитуал!H20+сПенс!H20+сНадгроб!H20</f>
        <v>26</v>
      </c>
      <c r="I20" s="638">
        <f>сВДЛ!I20+сДеп!I20+сКомУсл!I20+сЗП!I20+сАУП!I20+сКСП!I20+сВыборы!I20+сРезерв!I20+сДругие!I20+сПВУ!I20+сГОиЧС!I20+сДороги!I20+сНацЭкон!I20+сЖилфонд!I20+сКомХоз!I20+сБлагоуст!I20+сРитуал!I20+сПенс!I20+сНадгроб!I20</f>
        <v>0</v>
      </c>
    </row>
    <row r="21" spans="1:9" x14ac:dyDescent="0.25">
      <c r="A21" s="566" t="s">
        <v>643</v>
      </c>
      <c r="B21" s="848"/>
      <c r="C21" s="848"/>
      <c r="D21" s="848"/>
      <c r="E21" s="848"/>
      <c r="F21" s="559">
        <v>213</v>
      </c>
      <c r="G21" s="559"/>
      <c r="H21" s="850">
        <f>сВДЛ!H21+сДеп!H21+сКомУсл!H21+сЗП!H21+сАУП!H21+сКСП!H21+сВыборы!H21+сРезерв!H21+сДругие!H21+сПВУ!H21+сГОиЧС!H21+сДороги!H21+сНацЭкон!H21+сЖилфонд!H21+сКомХоз!H21+сБлагоуст!H21+сРитуал!H21+сПенс!H21+сНадгроб!H21</f>
        <v>2594.8000000000002</v>
      </c>
      <c r="I21" s="638">
        <f>сВДЛ!I21+сДеп!I21+сКомУсл!I21+сЗП!I21+сАУП!I21+сКСП!I21+сВыборы!I21+сРезерв!I21+сДругие!I21+сПВУ!I21+сГОиЧС!I21+сДороги!I21+сНацЭкон!I21+сЖилфонд!I21+сКомХоз!I21+сБлагоуст!I21+сРитуал!I21+сПенс!I21+сНадгроб!I21</f>
        <v>0</v>
      </c>
    </row>
    <row r="22" spans="1:9" ht="24" x14ac:dyDescent="0.25">
      <c r="A22" s="566" t="s">
        <v>644</v>
      </c>
      <c r="B22" s="848"/>
      <c r="C22" s="848"/>
      <c r="D22" s="848"/>
      <c r="E22" s="848"/>
      <c r="F22" s="559">
        <v>214</v>
      </c>
      <c r="G22" s="559"/>
      <c r="H22" s="850">
        <f>H23</f>
        <v>165.2</v>
      </c>
      <c r="I22" s="638">
        <f>сВДЛ!I22+сДеп!I22+сКомУсл!I22+сЗП!I22+сАУП!I22+сКСП!I22+сВыборы!I22+сРезерв!I22+сДругие!I22+сПВУ!I22+сГОиЧС!I22+сДороги!I22+сНацЭкон!I22+сЖилфонд!I22+сКомХоз!I22+сБлагоуст!I22+сРитуал!I22+сПенс!I22+сНадгроб!I22</f>
        <v>0</v>
      </c>
    </row>
    <row r="23" spans="1:9" x14ac:dyDescent="0.25">
      <c r="A23" s="567" t="s">
        <v>423</v>
      </c>
      <c r="B23" s="852"/>
      <c r="C23" s="852"/>
      <c r="D23" s="852"/>
      <c r="E23" s="852"/>
      <c r="F23" s="560">
        <v>214</v>
      </c>
      <c r="G23" s="560">
        <v>831</v>
      </c>
      <c r="H23" s="281">
        <f>сВДЛ!H23+сДеп!H23+сКомУсл!H23+сЗП!H23+сАУП!H23+сКСП!H23+сВыборы!H23+сРезерв!H23+сДругие!H23+сПВУ!H23+сГОиЧС!H23+сДороги!H23+сНацЭкон!H23+сЖилфонд!H23+сКомХоз!H23+сБлагоуст!H23+сРитуал!H23+сПенс!H23+сНадгроб!H23</f>
        <v>165.2</v>
      </c>
      <c r="I23" s="638">
        <f>сВДЛ!I23+сДеп!I23+сКомУсл!I23+сЗП!I23+сАУП!I23+сКСП!I23+сВыборы!I23+сРезерв!I23+сДругие!I23+сПВУ!I23+сГОиЧС!I23+сДороги!I23+сНацЭкон!I23+сЖилфонд!I23+сКомХоз!I23+сБлагоуст!I23+сРитуал!I23+сПенс!I23+сНадгроб!I23</f>
        <v>36.700000000000003</v>
      </c>
    </row>
    <row r="24" spans="1:9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16149.1</v>
      </c>
      <c r="I24" s="638">
        <f>сВДЛ!I24+сДеп!I24+сКомУсл!I24+сЗП!I24+сАУП!I24+сКСП!I24+сВыборы!I24+сРезерв!I24+сДругие!I24+сПВУ!I24+сГОиЧС!I24+сДороги!I24+сНацЭкон!I24+сЖилфонд!I24+сКомХоз!I24+сБлагоуст!I24+сРитуал!I24+сПенс!I24+сНадгроб!I24</f>
        <v>0</v>
      </c>
    </row>
    <row r="25" spans="1:9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>
        <f>сВДЛ!H25+сДеп!H25+сКомУсл!H25+сЗП!H25+сАУП!H25+сКСП!H25+сВыборы!H25+сРезерв!H25+сДругие!H25+сПВУ!H25+сГОиЧС!H25+сДороги!H25+сНацЭкон!H25+сЖилфонд!H25+сКомХоз!H25+сБлагоуст!H25+сРитуал!H25+сПенс!H25+сНадгроб!H25</f>
        <v>418.80000000000007</v>
      </c>
      <c r="I25" s="638">
        <f>сВДЛ!I25+сДеп!I25+сКомУсл!I25+сЗП!I25+сАУП!I25+сКСП!I25+сВыборы!I25+сРезерв!I25+сДругие!I25+сПВУ!I25+сГОиЧС!I25+сДороги!I25+сНацЭкон!I25+сЖилфонд!I25+сКомХоз!I25+сБлагоуст!I25+сРитуал!I25+сПенс!I25+сНадгроб!I25</f>
        <v>33984</v>
      </c>
    </row>
    <row r="26" spans="1:9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17.7</v>
      </c>
      <c r="I26" s="638">
        <f>сВДЛ!I26+сДеп!I26+сКомУсл!I26+сЗП!I26+сАУП!I26+сКСП!I26+сВыборы!I26+сРезерв!I26+сДругие!I26+сПВУ!I26+сГОиЧС!I26+сДороги!I26+сНацЭкон!I26+сЖилфонд!I26+сКомХоз!I26+сБлагоуст!I26+сРитуал!I26+сПенс!I26+сНадгроб!I26</f>
        <v>0</v>
      </c>
    </row>
    <row r="27" spans="1:9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>
        <f>сВДЛ!H27+сДеп!H27+сКомУсл!H27+сЗП!H27+сАУП!H27+сКСП!H27+сВыборы!H27+сРезерв!H27+сДругие!H27+сПВУ!H27+сГОиЧС!H27+сДороги!H27+сНацЭкон!H27+сЖилфонд!H27+сКомХоз!H27+сБлагоуст!H27+сРитуал!H27+сПенс!H27+сНадгроб!H27</f>
        <v>17.7</v>
      </c>
      <c r="I27" s="638">
        <f>сВДЛ!I27+сДеп!I27+сКомУсл!I27+сЗП!I27+сАУП!I27+сКСП!I27+сВыборы!I27+сРезерв!I27+сДругие!I27+сПВУ!I27+сГОиЧС!I27+сДороги!I27+сНацЭкон!I27+сЖилфонд!I27+сКомХоз!I27+сБлагоуст!I27+сРитуал!I27+сПенс!I27+сНадгроб!I27</f>
        <v>0</v>
      </c>
    </row>
    <row r="28" spans="1:9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3717.6</v>
      </c>
      <c r="I28" s="638">
        <f>сВДЛ!I28+сДеп!I28+сКомУсл!I28+сЗП!I28+сАУП!I28+сКСП!I28+сВыборы!I28+сРезерв!I28+сДругие!I28+сПВУ!I28+сГОиЧС!I28+сДороги!I28+сНацЭкон!I28+сЖилфонд!I28+сКомХоз!I28+сБлагоуст!I28+сРитуал!I28+сПенс!I28+сНадгроб!I28</f>
        <v>0</v>
      </c>
    </row>
    <row r="29" spans="1:9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>
        <f>сВДЛ!H29+сДеп!H29+сКомУсл!H29+сЗП!H29+сАУП!H29+сКСП!H29+сВыборы!H29+сРезерв!H29+сДругие!H29+сПВУ!H29+сГОиЧС!H29+сДороги!H29+сНацЭкон!H29+сЖилфонд!H29+сКомХоз!H29+сБлагоуст!H29+сРитуал!H29+сПенс!H29+сНадгроб!H29</f>
        <v>2640.2</v>
      </c>
      <c r="I29" s="638">
        <f>сВДЛ!I29+сДеп!I29+сКомУсл!I29+сЗП!I29+сАУП!I29+сКСП!I29+сВыборы!I29+сРезерв!I29+сДругие!I29+сПВУ!I29+сГОиЧС!I29+сДороги!I29+сНацЭкон!I29+сЖилфонд!I29+сКомХоз!I29+сБлагоуст!I29+сРитуал!I29+сПенс!I29+сНадгроб!I29</f>
        <v>634300</v>
      </c>
    </row>
    <row r="30" spans="1:9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>
        <f>сВДЛ!H30+сДеп!H30+сКомУсл!H30+сЗП!H30+сАУП!H30+сКСП!H30+сВыборы!H30+сРезерв!H30+сДругие!H30+сПВУ!H30+сГОиЧС!H30+сДороги!H30+сНацЭкон!H30+сЖилфонд!H30+сКомХоз!H30+сБлагоуст!H30+сРитуал!H30+сПенс!H30+сНадгроб!H30</f>
        <v>932.6</v>
      </c>
      <c r="I30" s="638">
        <f>сВДЛ!I30+сДеп!I30+сКомУсл!I30+сЗП!I30+сАУП!I30+сКСП!I30+сВыборы!I30+сРезерв!I30+сДругие!I30+сПВУ!I30+сГОиЧС!I30+сДороги!I30+сНацЭкон!I30+сЖилфонд!I30+сКомХоз!I30+сБлагоуст!I30+сРитуал!I30+сПенс!I30+сНадгроб!I30</f>
        <v>1500</v>
      </c>
    </row>
    <row r="31" spans="1:9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>
        <f>сВДЛ!H31+сДеп!H31+сКомУсл!H31+сЗП!H31+сАУП!H31+сКСП!H31+сВыборы!H31+сРезерв!H31+сДругие!H31+сПВУ!H31+сГОиЧС!H31+сДороги!H31+сНацЭкон!H31+сЖилфонд!H31+сКомХоз!H31+сБлагоуст!H31+сРитуал!H31+сПенс!H31+сНадгроб!H31</f>
        <v>144.79999999999998</v>
      </c>
      <c r="I31" s="638">
        <f>сВДЛ!I31+сДеп!I31+сКомУсл!I31+сЗП!I31+сАУП!I31+сКСП!I31+сВыборы!I31+сРезерв!I31+сДругие!I31+сПВУ!I31+сГОиЧС!I31+сДороги!I31+сНацЭкон!I31+сЖилфонд!I31+сКомХоз!I31+сБлагоуст!I31+сРитуал!I31+сПенс!I31+сНадгроб!I31</f>
        <v>1500</v>
      </c>
    </row>
    <row r="32" spans="1:9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10621</v>
      </c>
      <c r="I32" s="638">
        <f>сВДЛ!I32+сДеп!I32+сКомУсл!I32+сЗП!I32+сАУП!I32+сКСП!I32+сВыборы!I32+сРезерв!I32+сДругие!I32+сПВУ!I32+сГОиЧС!I32+сДороги!I32+сНацЭкон!I32+сЖилфонд!I32+сКомХоз!I32+сБлагоуст!I32+сРитуал!I32+сПенс!I32+сНадгроб!I32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>
        <f>сВДЛ!H33+сДеп!H33+сКомУсл!H33+сЗП!H33+сАУП!H33+сКСП!H33+сВыборы!H33+сРезерв!H33+сДругие!H33+сПВУ!H33+сГОиЧС!H33+сДороги!H33+сНацЭкон!H33+сЖилфонд!H33+сКомХоз!H33+сБлагоуст!H33+сРитуал!H33+сПенс!H33+сНадгроб!H33</f>
        <v>0</v>
      </c>
      <c r="I33" s="638">
        <f>сВДЛ!I33+сДеп!I33+сКомУсл!I33+сЗП!I33+сАУП!I33+сКСП!I33+сВыборы!I33+сРезерв!I33+сДругие!I33+сПВУ!I33+сГОиЧС!I33+сДороги!I33+сНацЭкон!I33+сЖилфонд!I33+сКомХоз!I33+сБлагоуст!I33+сРитуал!I33+сПенс!I33+сНадгроб!I33</f>
        <v>0</v>
      </c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>
        <f>сВДЛ!H34+сДеп!H34+сКомУсл!H34+сЗП!H34+сАУП!H34+сКСП!H34+сВыборы!H34+сРезерв!H34+сДругие!H34+сПВУ!H34+сГОиЧС!H34+сДороги!H34+сНацЭкон!H34+сЖилфонд!H34+сКомХоз!H34+сБлагоуст!H34+сРитуал!H34+сПенс!H34+сНадгроб!H34</f>
        <v>10621</v>
      </c>
      <c r="I34" s="638">
        <f>сВДЛ!I34+сДеп!I34+сКомУсл!I34+сЗП!I34+сАУП!I34+сКСП!I34+сВыборы!I34+сРезерв!I34+сДругие!I34+сПВУ!I34+сГОиЧС!I34+сДороги!I34+сНацЭкон!I34+сЖилфонд!I34+сКомХоз!I34+сБлагоуст!I34+сРитуал!I34+сПенс!I34+сНадгроб!I34</f>
        <v>8513428.620000001</v>
      </c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>
        <f>сВДЛ!H35+сДеп!H35+сКомУсл!H35+сЗП!H35+сАУП!H35+сКСП!H35+сВыборы!H35+сРезерв!H35+сДругие!H35+сПВУ!H35+сГОиЧС!H35+сДороги!H35+сНацЭкон!H35+сЖилфонд!H35+сКомХоз!H35+сБлагоуст!H35+сРитуал!H35+сПенс!H35+сНадгроб!H35</f>
        <v>0</v>
      </c>
      <c r="I35" s="638">
        <f>сВДЛ!I35+сДеп!I35+сКомУсл!I35+сЗП!I35+сАУП!I35+сКСП!I35+сВыборы!I35+сРезерв!I35+сДругие!I35+сПВУ!I35+сГОиЧС!I35+сДороги!I35+сНацЭкон!I35+сЖилфонд!I35+сКомХоз!I35+сБлагоуст!I35+сРитуал!I35+сПенс!I35+сНадгроб!I35</f>
        <v>0</v>
      </c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1374</v>
      </c>
      <c r="I36" s="638">
        <f>сВДЛ!I36+сДеп!I36+сКомУсл!I36+сЗП!I36+сАУП!I36+сКСП!I36+сВыборы!I36+сРезерв!I36+сДругие!I36+сПВУ!I36+сГОиЧС!I36+сДороги!I36+сНацЭкон!I36+сЖилфонд!I36+сКомХоз!I36+сБлагоуст!I36+сРитуал!I36+сПенс!I36+сНадгроб!I36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>
        <f>сВДЛ!H37+сДеп!H37+сКомУсл!H37+сЗП!H37+сАУП!H37+сКСП!H37+сВыборы!H37+сРезерв!H37+сДругие!H37+сПВУ!H37+сГОиЧС!H37+сДороги!H37+сНацЭкон!H37+сЖилфонд!H37+сКомХоз!H37+сБлагоуст!H37+сРитуал!H37+сПенс!H37+сНадгроб!H37</f>
        <v>20.100000000000001</v>
      </c>
      <c r="I37" s="638">
        <f>сВДЛ!I37+сДеп!I37+сКомУсл!I37+сЗП!I37+сАУП!I37+сКСП!I37+сВыборы!I37+сРезерв!I37+сДругие!I37+сПВУ!I37+сГОиЧС!I37+сДороги!I37+сНацЭкон!I37+сЖилфонд!I37+сКомХоз!I37+сБлагоуст!I37+сРитуал!I37+сПенс!I37+сНадгроб!I37</f>
        <v>0</v>
      </c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>
        <f>сВДЛ!H38+сДеп!H38+сКомУсл!H38+сЗП!H38+сАУП!H38+сКСП!H38+сВыборы!H38+сРезерв!H38+сДругие!H38+сПВУ!H38+сГОиЧС!H38+сДороги!H38+сНацЭкон!H38+сЖилфонд!H38+сКомХоз!H38+сБлагоуст!H38+сРитуал!H38+сПенс!H38+сНадгроб!H38</f>
        <v>1085.9000000000001</v>
      </c>
      <c r="I38" s="638">
        <f>сВДЛ!I38+сДеп!I38+сКомУсл!I38+сЗП!I38+сАУП!I38+сКСП!I38+сВыборы!I38+сРезерв!I38+сДругие!I38+сПВУ!I38+сГОиЧС!I38+сДороги!I38+сНацЭкон!I38+сЖилфонд!I38+сКомХоз!I38+сБлагоуст!I38+сРитуал!I38+сПенс!I38+сНадгроб!I38</f>
        <v>320500</v>
      </c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>
        <f>сВДЛ!H39+сДеп!H39+сКомУсл!H39+сЗП!H39+сАУП!H39+сКСП!H39+сВыборы!H39+сРезерв!H39+сДругие!H39+сПВУ!H39+сГОиЧС!H39+сДороги!H39+сНацЭкон!H39+сЖилфонд!H39+сКомХоз!H39+сБлагоуст!H39+сРитуал!H39+сПенс!H39+сНадгроб!H39</f>
        <v>14.100000000000001</v>
      </c>
      <c r="I39" s="638">
        <f>сВДЛ!I39+сДеп!I39+сКомУсл!I39+сЗП!I39+сАУП!I39+сКСП!I39+сВыборы!I39+сРезерв!I39+сДругие!I39+сПВУ!I39+сГОиЧС!I39+сДороги!I39+сНацЭкон!I39+сЖилфонд!I39+сКомХоз!I39+сБлагоуст!I39+сРитуал!I39+сПенс!I39+сНадгроб!I39</f>
        <v>0</v>
      </c>
    </row>
    <row r="40" spans="1:9" x14ac:dyDescent="0.25">
      <c r="A40" s="567" t="s">
        <v>348</v>
      </c>
      <c r="B40" s="852"/>
      <c r="C40" s="852"/>
      <c r="D40" s="852"/>
      <c r="E40" s="852"/>
      <c r="F40" s="560">
        <v>226</v>
      </c>
      <c r="G40" s="560">
        <v>620</v>
      </c>
      <c r="H40" s="281">
        <f>сВДЛ!H40+сДеп!H40+сКомУсл!H40+сЗП!H40+сАУП!H40+сКСП!H40+сВыборы!H40+сРезерв!H40+сДругие!H40+сПВУ!H40+сГОиЧС!H40+сДороги!H40+сНацЭкон!H40+сЖилфонд!H40+сКомХоз!H40+сБлагоуст!H40+сРитуал!H40+сПенс!H40+сНадгроб!H40</f>
        <v>74.2</v>
      </c>
      <c r="I40" s="638">
        <f>сВДЛ!I40+сДеп!I40+сКомУсл!I40+сЗП!I40+сАУП!I40+сКСП!I40+сВыборы!I40+сРезерв!I40+сДругие!I40+сПВУ!I40+сГОиЧС!I40+сДороги!I40+сНацЭкон!I40+сЖилфонд!I40+сКомХоз!I40+сБлагоуст!I40+сРитуал!I40+сПенс!I40+сНадгроб!I40</f>
        <v>0</v>
      </c>
    </row>
    <row r="41" spans="1:9" x14ac:dyDescent="0.25">
      <c r="A41" s="567" t="s">
        <v>349</v>
      </c>
      <c r="B41" s="852"/>
      <c r="C41" s="852"/>
      <c r="D41" s="852"/>
      <c r="E41" s="852"/>
      <c r="F41" s="560">
        <v>226</v>
      </c>
      <c r="G41" s="560">
        <v>630</v>
      </c>
      <c r="H41" s="281">
        <f>сВДЛ!H41+сДеп!H41+сКомУсл!H41+сЗП!H41+сАУП!H41+сКСП!H41+сВыборы!H41+сРезерв!H41+сДругие!H41+сПВУ!H41+сГОиЧС!H41+сДороги!H41+сНацЭкон!H41+сЖилфонд!H41+сКомХоз!H41+сБлагоуст!H41+сРитуал!H41+сПенс!H41+сНадгроб!H41</f>
        <v>173.7</v>
      </c>
      <c r="I41" s="638">
        <f>сВДЛ!I41+сДеп!I41+сКомУсл!I41+сЗП!I41+сАУП!I41+сКСП!I41+сВыборы!I41+сРезерв!I41+сДругие!I41+сПВУ!I41+сГОиЧС!I41+сДороги!I41+сНацЭкон!I41+сЖилфонд!I41+сКомХоз!I41+сБлагоуст!I41+сРитуал!I41+сПенс!I41+сНадгроб!I41</f>
        <v>0</v>
      </c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>
        <f>сВДЛ!H42+сДеп!H42+сКомУсл!H42+сЗП!H42+сАУП!H42+сКСП!H42+сВыборы!H42+сРезерв!H42+сДругие!H42+сПВУ!H42+сГОиЧС!H42+сДороги!H42+сНацЭкон!H42+сЖилфонд!H42+сКомХоз!H42+сБлагоуст!H42+сРитуал!H42+сПенс!H42+сНадгроб!H42</f>
        <v>0</v>
      </c>
      <c r="I42" s="638">
        <f>сВДЛ!I42+сДеп!I42+сКомУсл!I42+сЗП!I42+сАУП!I42+сКСП!I42+сВыборы!I42+сРезерв!I42+сДругие!I42+сПВУ!I42+сГОиЧС!I42+сДороги!I42+сНацЭкон!I42+сЖилфонд!I42+сКомХоз!I42+сБлагоуст!I42+сРитуал!I42+сПенс!I42+сНадгроб!I42</f>
        <v>0</v>
      </c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>
        <f>сВДЛ!H43+сДеп!H43+сКомУсл!H43+сЗП!H43+сАУП!H43+сКСП!H43+сВыборы!H43+сРезерв!H43+сДругие!H43+сПВУ!H43+сГОиЧС!H43+сДороги!H43+сНацЭкон!H43+сЖилфонд!H43+сКомХоз!H43+сБлагоуст!H43+сРитуал!H43+сПенс!H43+сНадгроб!H43</f>
        <v>6</v>
      </c>
      <c r="I43" s="638">
        <f>сВДЛ!I43+сДеп!I43+сКомУсл!I43+сЗП!I43+сАУП!I43+сКСП!I43+сВыборы!I43+сРезерв!I43+сДругие!I43+сПВУ!I43+сГОиЧС!I43+сДороги!I43+сНацЭкон!I43+сЖилфонд!I43+сКомХоз!I43+сБлагоуст!I43+сРитуал!I43+сПенс!I43+сНадгроб!I43</f>
        <v>0</v>
      </c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100</v>
      </c>
      <c r="I44" s="638">
        <f>сВДЛ!I44+сДеп!I44+сКомУсл!I44+сЗП!I44+сАУП!I44+сКСП!I44+сВыборы!I44+сРезерв!I44+сДругие!I44+сПВУ!I44+сГОиЧС!I44+сДороги!I44+сНацЭкон!I44+сЖилфонд!I44+сКомХоз!I44+сБлагоуст!I44+сРитуал!I44+сПенс!I44+сНадгроб!I44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>
        <f>сВДЛ!H45+сДеп!H45+сКомУсл!H45+сЗП!H45+сАУП!H45+сКСП!H45+сВыборы!H45+сРезерв!H45+сДругие!H45+сПВУ!H45+сГОиЧС!H45+сДороги!H45+сНацЭкон!H45+сЖилфонд!H45+сКомХоз!H45+сБлагоуст!H45+сРитуал!H45+сПенс!H45+сНадгроб!H45</f>
        <v>100</v>
      </c>
      <c r="I45" s="638">
        <f>сВДЛ!I45+сДеп!I45+сКомУсл!I45+сЗП!I45+сАУП!I45+сКСП!I45+сВыборы!I45+сРезерв!I45+сДругие!I45+сПВУ!I45+сГОиЧС!I45+сДороги!I45+сНацЭкон!I45+сЖилфонд!I45+сКомХоз!I45+сБлагоуст!I45+сРитуал!I45+сПенс!I45+сНадгроб!I45</f>
        <v>100000</v>
      </c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483.4</v>
      </c>
      <c r="I46" s="638">
        <f>сВДЛ!I46+сДеп!I46+сКомУсл!I46+сЗП!I46+сАУП!I46+сКСП!I46+сВыборы!I46+сРезерв!I46+сДругие!I46+сПВУ!I46+сГОиЧС!I46+сДороги!I46+сНацЭкон!I46+сЖилфонд!I46+сКомХоз!I46+сБлагоуст!I46+сРитуал!I46+сПенс!I46+сНадгроб!I46</f>
        <v>0</v>
      </c>
    </row>
    <row r="47" spans="1:9" x14ac:dyDescent="0.25">
      <c r="A47" s="566" t="s">
        <v>652</v>
      </c>
      <c r="B47" s="854"/>
      <c r="C47" s="854"/>
      <c r="D47" s="854"/>
      <c r="E47" s="854"/>
      <c r="F47" s="559">
        <v>251</v>
      </c>
      <c r="G47" s="559"/>
      <c r="H47" s="580">
        <f>сВДЛ!H47+сДеп!H47+сКомУсл!H47+сЗП!H47+сАУП!H47+сКСП!H47+сВыборы!H47+сРезерв!H47+сДругие!H47+сПВУ!H47+сГОиЧС!H47+сДороги!H47+сНацЭкон!H47+сЖилфонд!H47+сКомХоз!H47+сБлагоуст!H47+сРитуал!H47+сПенс!H47+сНадгроб!H47</f>
        <v>483.4</v>
      </c>
      <c r="I47" s="638">
        <f>сВДЛ!I47+сДеп!I47+сКомУсл!I47+сЗП!I47+сАУП!I47+сКСП!I47+сВыборы!I47+сРезерв!I47+сДругие!I47+сПВУ!I47+сГОиЧС!I47+сДороги!I47+сНацЭкон!I47+сЖилфонд!I47+сКомХоз!I47+сБлагоуст!I47+сРитуал!I47+сПенс!I47+сНадгроб!I47</f>
        <v>0</v>
      </c>
    </row>
    <row r="48" spans="1:9" x14ac:dyDescent="0.25">
      <c r="A48" s="565" t="s">
        <v>653</v>
      </c>
      <c r="B48" s="857"/>
      <c r="C48" s="857"/>
      <c r="D48" s="857"/>
      <c r="E48" s="857"/>
      <c r="F48" s="558" t="s">
        <v>366</v>
      </c>
      <c r="G48" s="558"/>
      <c r="H48" s="858">
        <f>H49+H51</f>
        <v>2909.6</v>
      </c>
      <c r="I48" s="638">
        <f>сВДЛ!I48+сДеп!I48+сКомУсл!I48+сЗП!I48+сАУП!I48+сКСП!I48+сВыборы!I48+сРезерв!I48+сДругие!I48+сПВУ!I48+сГОиЧС!I48+сДороги!I48+сНацЭкон!I48+сЖилфонд!I48+сКомХоз!I48+сБлагоуст!I48+сРитуал!I48+сПенс!I48+сНадгроб!I48</f>
        <v>0</v>
      </c>
    </row>
    <row r="49" spans="1:9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2885.4</v>
      </c>
      <c r="I49" s="638">
        <f>сВДЛ!I49+сДеп!I49+сКомУсл!I49+сЗП!I49+сАУП!I49+сКСП!I49+сВыборы!I49+сРезерв!I49+сДругие!I49+сПВУ!I49+сГОиЧС!I49+сДороги!I49+сНацЭкон!I49+сЖилфонд!I49+сКомХоз!I49+сБлагоуст!I49+сРитуал!I49+сПенс!I49+сНадгроб!I49</f>
        <v>0</v>
      </c>
    </row>
    <row r="50" spans="1:9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>
        <f>сВДЛ!H50+сДеп!H50+сКомУсл!H50+сЗП!H50+сАУП!H50+сКСП!H50+сВыборы!H50+сРезерв!H50+сДругие!H50+сПВУ!H50+сГОиЧС!H50+сДороги!H50+сНацЭкон!H50+сЖилфонд!H50+сКомХоз!H50+сБлагоуст!H50+сРитуал!H50+сПенс!H50+сНадгроб!H50</f>
        <v>2885.4</v>
      </c>
      <c r="I50" s="638">
        <f>сВДЛ!I50+сДеп!I50+сКомУсл!I50+сЗП!I50+сАУП!I50+сКСП!I50+сВыборы!I50+сРезерв!I50+сДругие!I50+сПВУ!I50+сГОиЧС!I50+сДороги!I50+сНацЭкон!I50+сЖилфонд!I50+сКомХоз!I50+сБлагоуст!I50+сРитуал!I50+сПенс!I50+сНадгроб!I50</f>
        <v>2885400</v>
      </c>
    </row>
    <row r="51" spans="1:9" ht="24" x14ac:dyDescent="0.25">
      <c r="A51" s="566" t="s">
        <v>382</v>
      </c>
      <c r="B51" s="848"/>
      <c r="C51" s="848"/>
      <c r="D51" s="848"/>
      <c r="E51" s="848"/>
      <c r="F51" s="559">
        <v>266</v>
      </c>
      <c r="G51" s="559"/>
      <c r="H51" s="850">
        <f>сВДЛ!H51+сДеп!H51+сКомУсл!H51+сЗП!H51+сАУП!H51+сКСП!H51+сВыборы!H51+сРезерв!H51+сДругие!H51+сПВУ!H51+сГОиЧС!H51+сДороги!H51+сНацЭкон!H51+сЖилфонд!H51+сКомХоз!H51+сБлагоуст!H51+сРитуал!H51+сПенс!H51+сНадгроб!H51</f>
        <v>24.2</v>
      </c>
      <c r="I51" s="638">
        <f>сВДЛ!I51+сДеп!I51+сКомУсл!I51+сЗП!I51+сАУП!I51+сКСП!I51+сВыборы!I51+сРезерв!I51+сДругие!I51+сПВУ!I51+сГОиЧС!I51+сДороги!I51+сНацЭкон!I51+сЖилфонд!I51+сКомХоз!I51+сБлагоуст!I51+сРитуал!I51+сПенс!I51+сНадгроб!I51</f>
        <v>-27029.8</v>
      </c>
    </row>
    <row r="52" spans="1:9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485</v>
      </c>
      <c r="I52" s="638">
        <f>сВДЛ!I52+сДеп!I52+сКомУсл!I52+сЗП!I52+сАУП!I52+сКСП!I52+сВыборы!I52+сРезерв!I52+сДругие!I52+сПВУ!I52+сГОиЧС!I52+сДороги!I52+сНацЭкон!I52+сЖилфонд!I52+сКомХоз!I52+сБлагоуст!I52+сРитуал!I52+сПенс!I52+сНадгроб!I52</f>
        <v>0</v>
      </c>
    </row>
    <row r="53" spans="1:9" x14ac:dyDescent="0.25">
      <c r="A53" s="568" t="s">
        <v>379</v>
      </c>
      <c r="B53" s="854"/>
      <c r="C53" s="854"/>
      <c r="D53" s="854"/>
      <c r="E53" s="854"/>
      <c r="F53" s="562">
        <v>291</v>
      </c>
      <c r="G53" s="562"/>
      <c r="H53" s="580">
        <f>сВДЛ!H53+сДеп!H53+сКомУсл!H53+сЗП!H53+сАУП!H53+сКСП!H53+сВыборы!H53+сРезерв!H53+сДругие!H53+сПВУ!H53+сГОиЧС!H53+сДороги!H53+сНацЭкон!H53+сЖилфонд!H53+сКомХоз!H53+сБлагоуст!H53+сРитуал!H53+сПенс!H53+сНадгроб!H53</f>
        <v>165</v>
      </c>
      <c r="I53" s="638">
        <f>сВДЛ!I53+сДеп!I53+сКомУсл!I53+сЗП!I53+сАУП!I53+сКСП!I53+сВыборы!I53+сРезерв!I53+сДругие!I53+сПВУ!I53+сГОиЧС!I53+сДороги!I53+сНацЭкон!I53+сЖилфонд!I53+сКомХоз!I53+сБлагоуст!I53+сРитуал!I53+сПенс!I53+сНадгроб!I53</f>
        <v>0</v>
      </c>
    </row>
    <row r="54" spans="1:9" x14ac:dyDescent="0.25">
      <c r="A54" s="568" t="s">
        <v>380</v>
      </c>
      <c r="B54" s="848"/>
      <c r="C54" s="848"/>
      <c r="D54" s="848"/>
      <c r="E54" s="848"/>
      <c r="F54" s="562">
        <v>292</v>
      </c>
      <c r="G54" s="562"/>
      <c r="H54" s="850">
        <f>сВДЛ!H54+сДеп!H54+сКомУсл!H54+сЗП!H54+сАУП!H54+сКСП!H54+сВыборы!H54+сРезерв!H54+сДругие!H54+сПВУ!H54+сГОиЧС!H54+сДороги!H54+сНацЭкон!H54+сЖилфонд!H54+сКомХоз!H54+сБлагоуст!H54+сРитуал!H54+сПенс!H54+сНадгроб!H54</f>
        <v>0</v>
      </c>
      <c r="I54" s="638">
        <f>сВДЛ!I54+сДеп!I54+сКомУсл!I54+сЗП!I54+сАУП!I54+сКСП!I54+сВыборы!I54+сРезерв!I54+сДругие!I54+сПВУ!I54+сГОиЧС!I54+сДороги!I54+сНацЭкон!I54+сЖилфонд!I54+сКомХоз!I54+сБлагоуст!I54+сРитуал!I54+сПенс!I54+сНадгроб!I54</f>
        <v>0</v>
      </c>
    </row>
    <row r="55" spans="1:9" x14ac:dyDescent="0.25">
      <c r="A55" s="568" t="s">
        <v>381</v>
      </c>
      <c r="B55" s="848"/>
      <c r="C55" s="848"/>
      <c r="D55" s="848"/>
      <c r="E55" s="848"/>
      <c r="F55" s="562">
        <v>293</v>
      </c>
      <c r="G55" s="562"/>
      <c r="H55" s="850">
        <f>сВДЛ!H55+сДеп!H55+сКомУсл!H55+сЗП!H55+сАУП!H55+сКСП!H55+сВыборы!H55+сРезерв!H55+сДругие!H55+сПВУ!H55+сГОиЧС!H55+сДороги!H55+сНацЭкон!H55+сЖилфонд!H55+сКомХоз!H55+сБлагоуст!H55+сРитуал!H55+сПенс!H55+сНадгроб!H55</f>
        <v>0</v>
      </c>
      <c r="I55" s="638">
        <f>сВДЛ!I55+сДеп!I55+сКомУсл!I55+сЗП!I55+сАУП!I55+сКСП!I55+сВыборы!I55+сРезерв!I55+сДругие!I55+сПВУ!I55+сГОиЧС!I55+сДороги!I55+сНацЭкон!I55+сЖилфонд!I55+сКомХоз!I55+сБлагоуст!I55+сРитуал!I55+сПенс!I55+сНадгроб!I55</f>
        <v>0</v>
      </c>
    </row>
    <row r="56" spans="1:9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>
        <f>сВДЛ!H56+сДеп!H56+сКомУсл!H56+сЗП!H56+сАУП!H56+сКСП!H56+сВыборы!H56+сРезерв!H56+сДругие!H56+сПВУ!H56+сГОиЧС!H56+сДороги!H56+сНацЭкон!H56+сЖилфонд!H56+сКомХоз!H56+сБлагоуст!H56+сРитуал!H56+сПенс!H56+сНадгроб!H56</f>
        <v>0</v>
      </c>
      <c r="I56" s="638">
        <f>сВДЛ!I56+сДеп!I56+сКомУсл!I56+сЗП!I56+сАУП!I56+сКСП!I56+сВыборы!I56+сРезерв!I56+сДругие!I56+сПВУ!I56+сГОиЧС!I56+сДороги!I56+сНацЭкон!I56+сЖилфонд!I56+сКомХоз!I56+сБлагоуст!I56+сРитуал!I56+сПенс!I56+сНадгроб!I56</f>
        <v>0</v>
      </c>
    </row>
    <row r="57" spans="1:9" x14ac:dyDescent="0.25">
      <c r="A57" s="568" t="s">
        <v>655</v>
      </c>
      <c r="B57" s="848"/>
      <c r="C57" s="848"/>
      <c r="D57" s="848"/>
      <c r="E57" s="848"/>
      <c r="F57" s="562">
        <v>296</v>
      </c>
      <c r="G57" s="562"/>
      <c r="H57" s="850">
        <f>сВДЛ!H57+сДеп!H57+сКомУсл!H57+сЗП!H57+сАУП!H57+сКСП!H57+сВыборы!H57+сРезерв!H57+сДругие!H57+сПВУ!H57+сГОиЧС!H57+сДороги!H57+сНацЭкон!H57+сЖилфонд!H57+сКомХоз!H57+сБлагоуст!H57+сРитуал!H57+сПенс!H57+сНадгроб!H57</f>
        <v>0</v>
      </c>
      <c r="I57" s="638">
        <f>сВДЛ!I57+сДеп!I57+сКомУсл!I57+сЗП!I57+сАУП!I57+сКСП!I57+сВыборы!I57+сРезерв!I57+сДругие!I57+сПВУ!I57+сГОиЧС!I57+сДороги!I57+сНацЭкон!I57+сЖилфонд!I57+сКомХоз!I57+сБлагоуст!I57+сРитуал!I57+сПенс!I57+сНадгроб!I57</f>
        <v>0</v>
      </c>
    </row>
    <row r="58" spans="1:9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>
        <f>сВДЛ!H58+сДеп!H58+сКомУсл!H58+сЗП!H58+сАУП!H58+сКСП!H58+сВыборы!H58+сРезерв!H58+сДругие!H58+сПВУ!H58+сГОиЧС!H58+сДороги!H58+сНацЭкон!H58+сЖилфонд!H58+сКомХоз!H58+сБлагоуст!H58+сРитуал!H58+сПенс!H58+сНадгроб!H58</f>
        <v>320</v>
      </c>
      <c r="I58" s="638">
        <f>сВДЛ!I58+сДеп!I58+сКомУсл!I58+сЗП!I58+сАУП!I58+сКСП!I58+сВыборы!I58+сРезерв!I58+сДругие!I58+сПВУ!I58+сГОиЧС!I58+сДороги!I58+сНацЭкон!I58+сЖилфонд!I58+сКомХоз!I58+сБлагоуст!I58+сРитуал!I58+сПенс!I58+сНадгроб!I58</f>
        <v>320000</v>
      </c>
    </row>
    <row r="59" spans="1:9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209.9</v>
      </c>
      <c r="I59" s="638">
        <f>сВДЛ!I59+сДеп!I59+сКомУсл!I59+сЗП!I59+сАУП!I59+сКСП!I59+сВыборы!I59+сРезерв!I59+сДругие!I59+сПВУ!I59+сГОиЧС!I59+сДороги!I59+сНацЭкон!I59+сЖилфонд!I59+сКомХоз!I59+сБлагоуст!I59+сРитуал!I59+сПенс!I59+сНадгроб!I59</f>
        <v>0</v>
      </c>
    </row>
    <row r="60" spans="1:9" x14ac:dyDescent="0.25">
      <c r="A60" s="566" t="s">
        <v>372</v>
      </c>
      <c r="B60" s="854"/>
      <c r="C60" s="854"/>
      <c r="D60" s="854"/>
      <c r="E60" s="854"/>
      <c r="F60" s="559" t="s">
        <v>373</v>
      </c>
      <c r="G60" s="559"/>
      <c r="H60" s="580">
        <f>H61</f>
        <v>52.7</v>
      </c>
      <c r="I60" s="638">
        <f>сВДЛ!I60+сДеп!I60+сКомУсл!I60+сЗП!I60+сАУП!I60+сКСП!I60+сВыборы!I60+сРезерв!I60+сДругие!I60+сПВУ!I60+сГОиЧС!I60+сДороги!I60+сНацЭкон!I60+сЖилфонд!I60+сКомХоз!I60+сБлагоуст!I60+сРитуал!I60+сПенс!I60+сНадгроб!I60</f>
        <v>0</v>
      </c>
    </row>
    <row r="61" spans="1:9" x14ac:dyDescent="0.25">
      <c r="A61" s="567" t="s">
        <v>374</v>
      </c>
      <c r="B61" s="848"/>
      <c r="C61" s="848"/>
      <c r="D61" s="848"/>
      <c r="E61" s="848"/>
      <c r="F61" s="560">
        <v>310</v>
      </c>
      <c r="G61" s="560" t="s">
        <v>375</v>
      </c>
      <c r="H61" s="281">
        <f>сВДЛ!H61+сДеп!H61+сКомУсл!H61+сЗП!H61+сАУП!H61+сКСП!H61+сВыборы!H61+сРезерв!H61+сДругие!H61+сПВУ!H61+сГОиЧС!H61+сДороги!H61+сНацЭкон!H61+сЖилфонд!H61+сКомХоз!H61+сБлагоуст!H61+сРитуал!H61+сПенс!H61+сНадгроб!H61</f>
        <v>52.7</v>
      </c>
      <c r="I61" s="638">
        <f>сВДЛ!I61+сДеп!I61+сКомУсл!I61+сЗП!I61+сАУП!I61+сКСП!I61+сВыборы!I61+сРезерв!I61+сДругие!I61+сПВУ!I61+сГОиЧС!I61+сДороги!I61+сНацЭкон!I61+сЖилфонд!I61+сКомХоз!I61+сБлагоуст!I61+сРитуал!I61+сПенс!I61+сНадгроб!I61</f>
        <v>0</v>
      </c>
    </row>
    <row r="62" spans="1:9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>
        <f>сВДЛ!H62+сДеп!H62+сКомУсл!H62+сЗП!H62+сАУП!H62+сКСП!H62+сВыборы!H62+сРезерв!H62+сДругие!H62+сПВУ!H62+сГОиЧС!H62+сДороги!H62+сНацЭкон!H62+сЖилфонд!H62+сКомХоз!H62+сБлагоуст!H62+сРитуал!H62+сПенс!H62+сНадгроб!H62</f>
        <v>28.6</v>
      </c>
      <c r="I62" s="638">
        <f>сВДЛ!I62+сДеп!I62+сКомУсл!I62+сЗП!I62+сАУП!I62+сКСП!I62+сВыборы!I62+сРезерв!I62+сДругие!I62+сПВУ!I62+сГОиЧС!I62+сДороги!I62+сНацЭкон!I62+сЖилфонд!I62+сКомХоз!I62+сБлагоуст!I62+сРитуал!I62+сПенс!I62+сНадгроб!I62</f>
        <v>0</v>
      </c>
    </row>
    <row r="63" spans="1:9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>
        <f>сВДЛ!H63+сДеп!H63+сКомУсл!H63+сЗП!H63+сАУП!H63+сКСП!H63+сВыборы!H63+сРезерв!H63+сДругие!H63+сПВУ!H63+сГОиЧС!H63+сДороги!H63+сНацЭкон!H63+сЖилфонд!H63+сКомХоз!H63+сБлагоуст!H63+сРитуал!H63+сПенс!H63+сНадгроб!H63</f>
        <v>128.6</v>
      </c>
      <c r="I63" s="638">
        <f>сВДЛ!I63+сДеп!I63+сКомУсл!I63+сЗП!I63+сАУП!I63+сКСП!I63+сВыборы!I63+сРезерв!I63+сДругие!I63+сПВУ!I63+сГОиЧС!I63+сДороги!I63+сНацЭкон!I63+сЖилфонд!I63+сКомХоз!I63+сБлагоуст!I63+сРитуал!I63+сПенс!I63+сНадгроб!I63</f>
        <v>42916</v>
      </c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>
        <f>сВДЛ!H64+сДеп!H64+сКомУсл!H64+сЗП!H64+сАУП!H64+сКСП!H64+сВыборы!H64+сРезерв!H64+сДругие!H64+сПВУ!H64+сГОиЧС!H64+сДороги!H64+сНацЭкон!H64+сЖилфонд!H64+сКомХоз!H64+сБлагоуст!H64+сРитуал!H64+сПенс!H64+сНадгроб!H64</f>
        <v>0</v>
      </c>
      <c r="I64" s="638">
        <f>сВДЛ!I64+сДеп!I64+сКомУсл!I64+сЗП!I64+сАУП!I64+сКСП!I64+сВыборы!I64+сРезерв!I64+сДругие!I64+сПВУ!I64+сГОиЧС!I64+сДороги!I64+сНацЭкон!I64+сЖилфонд!I64+сКомХоз!I64+сБлагоуст!I64+сРитуал!I64+сПенс!I64+сНадгроб!I64</f>
        <v>10000</v>
      </c>
    </row>
    <row r="65" spans="1:9" x14ac:dyDescent="0.25">
      <c r="A65" s="571" t="s">
        <v>377</v>
      </c>
      <c r="B65" s="848"/>
      <c r="C65" s="848"/>
      <c r="D65" s="848"/>
      <c r="E65" s="848"/>
      <c r="F65" s="570"/>
      <c r="G65" s="570"/>
      <c r="H65" s="850">
        <f>H59+H16</f>
        <v>32302.5</v>
      </c>
      <c r="I65" s="906">
        <f>SUM(I16:I64)</f>
        <v>12846535.52</v>
      </c>
    </row>
    <row r="66" spans="1:9" x14ac:dyDescent="0.25">
      <c r="A66" s="862"/>
      <c r="B66" s="863"/>
      <c r="C66" s="863"/>
      <c r="D66" s="863"/>
      <c r="E66" s="863"/>
      <c r="F66" s="863"/>
      <c r="G66" s="863"/>
      <c r="H66" s="864"/>
    </row>
    <row r="67" spans="1:9" x14ac:dyDescent="0.25">
      <c r="H67" s="811"/>
    </row>
  </sheetData>
  <mergeCells count="22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E9:F9"/>
    <mergeCell ref="G9:H9"/>
    <mergeCell ref="A9:D9"/>
    <mergeCell ref="E10:F10"/>
    <mergeCell ref="G10:H10"/>
    <mergeCell ref="E11:F11"/>
    <mergeCell ref="G11:H11"/>
    <mergeCell ref="A14:A15"/>
    <mergeCell ref="B14:G14"/>
    <mergeCell ref="H14:H15"/>
    <mergeCell ref="A10:D10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67"/>
  <sheetViews>
    <sheetView showZeros="0" topLeftCell="A28" workbookViewId="0">
      <selection activeCell="J51" sqref="J51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4" width="9.140625" style="789"/>
    <col min="255" max="255" width="49.42578125" style="789" customWidth="1"/>
    <col min="256" max="257" width="3.5703125" style="789" customWidth="1"/>
    <col min="258" max="258" width="11.42578125" style="789" customWidth="1"/>
    <col min="259" max="261" width="5.7109375" style="789" customWidth="1"/>
    <col min="262" max="262" width="9" style="789" customWidth="1"/>
    <col min="263" max="263" width="18.7109375" style="789" customWidth="1"/>
    <col min="264" max="510" width="9.140625" style="789"/>
    <col min="511" max="511" width="49.42578125" style="789" customWidth="1"/>
    <col min="512" max="513" width="3.5703125" style="789" customWidth="1"/>
    <col min="514" max="514" width="11.42578125" style="789" customWidth="1"/>
    <col min="515" max="517" width="5.7109375" style="789" customWidth="1"/>
    <col min="518" max="518" width="9" style="789" customWidth="1"/>
    <col min="519" max="519" width="18.7109375" style="789" customWidth="1"/>
    <col min="520" max="766" width="9.140625" style="789"/>
    <col min="767" max="767" width="49.42578125" style="789" customWidth="1"/>
    <col min="768" max="769" width="3.5703125" style="789" customWidth="1"/>
    <col min="770" max="770" width="11.42578125" style="789" customWidth="1"/>
    <col min="771" max="773" width="5.7109375" style="789" customWidth="1"/>
    <col min="774" max="774" width="9" style="789" customWidth="1"/>
    <col min="775" max="775" width="18.7109375" style="789" customWidth="1"/>
    <col min="776" max="1022" width="9.140625" style="789"/>
    <col min="1023" max="1023" width="49.42578125" style="789" customWidth="1"/>
    <col min="1024" max="1025" width="3.5703125" style="789" customWidth="1"/>
    <col min="1026" max="1026" width="11.42578125" style="789" customWidth="1"/>
    <col min="1027" max="1029" width="5.7109375" style="789" customWidth="1"/>
    <col min="1030" max="1030" width="9" style="789" customWidth="1"/>
    <col min="1031" max="1031" width="18.7109375" style="789" customWidth="1"/>
    <col min="1032" max="1278" width="9.140625" style="789"/>
    <col min="1279" max="1279" width="49.42578125" style="789" customWidth="1"/>
    <col min="1280" max="1281" width="3.5703125" style="789" customWidth="1"/>
    <col min="1282" max="1282" width="11.42578125" style="789" customWidth="1"/>
    <col min="1283" max="1285" width="5.7109375" style="789" customWidth="1"/>
    <col min="1286" max="1286" width="9" style="789" customWidth="1"/>
    <col min="1287" max="1287" width="18.7109375" style="789" customWidth="1"/>
    <col min="1288" max="1534" width="9.140625" style="789"/>
    <col min="1535" max="1535" width="49.42578125" style="789" customWidth="1"/>
    <col min="1536" max="1537" width="3.5703125" style="789" customWidth="1"/>
    <col min="1538" max="1538" width="11.42578125" style="789" customWidth="1"/>
    <col min="1539" max="1541" width="5.7109375" style="789" customWidth="1"/>
    <col min="1542" max="1542" width="9" style="789" customWidth="1"/>
    <col min="1543" max="1543" width="18.7109375" style="789" customWidth="1"/>
    <col min="1544" max="1790" width="9.140625" style="789"/>
    <col min="1791" max="1791" width="49.42578125" style="789" customWidth="1"/>
    <col min="1792" max="1793" width="3.5703125" style="789" customWidth="1"/>
    <col min="1794" max="1794" width="11.42578125" style="789" customWidth="1"/>
    <col min="1795" max="1797" width="5.7109375" style="789" customWidth="1"/>
    <col min="1798" max="1798" width="9" style="789" customWidth="1"/>
    <col min="1799" max="1799" width="18.7109375" style="789" customWidth="1"/>
    <col min="1800" max="2046" width="9.140625" style="789"/>
    <col min="2047" max="2047" width="49.42578125" style="789" customWidth="1"/>
    <col min="2048" max="2049" width="3.5703125" style="789" customWidth="1"/>
    <col min="2050" max="2050" width="11.42578125" style="789" customWidth="1"/>
    <col min="2051" max="2053" width="5.7109375" style="789" customWidth="1"/>
    <col min="2054" max="2054" width="9" style="789" customWidth="1"/>
    <col min="2055" max="2055" width="18.7109375" style="789" customWidth="1"/>
    <col min="2056" max="2302" width="9.140625" style="789"/>
    <col min="2303" max="2303" width="49.42578125" style="789" customWidth="1"/>
    <col min="2304" max="2305" width="3.5703125" style="789" customWidth="1"/>
    <col min="2306" max="2306" width="11.42578125" style="789" customWidth="1"/>
    <col min="2307" max="2309" width="5.7109375" style="789" customWidth="1"/>
    <col min="2310" max="2310" width="9" style="789" customWidth="1"/>
    <col min="2311" max="2311" width="18.7109375" style="789" customWidth="1"/>
    <col min="2312" max="2558" width="9.140625" style="789"/>
    <col min="2559" max="2559" width="49.42578125" style="789" customWidth="1"/>
    <col min="2560" max="2561" width="3.5703125" style="789" customWidth="1"/>
    <col min="2562" max="2562" width="11.42578125" style="789" customWidth="1"/>
    <col min="2563" max="2565" width="5.7109375" style="789" customWidth="1"/>
    <col min="2566" max="2566" width="9" style="789" customWidth="1"/>
    <col min="2567" max="2567" width="18.7109375" style="789" customWidth="1"/>
    <col min="2568" max="2814" width="9.140625" style="789"/>
    <col min="2815" max="2815" width="49.42578125" style="789" customWidth="1"/>
    <col min="2816" max="2817" width="3.5703125" style="789" customWidth="1"/>
    <col min="2818" max="2818" width="11.42578125" style="789" customWidth="1"/>
    <col min="2819" max="2821" width="5.7109375" style="789" customWidth="1"/>
    <col min="2822" max="2822" width="9" style="789" customWidth="1"/>
    <col min="2823" max="2823" width="18.7109375" style="789" customWidth="1"/>
    <col min="2824" max="3070" width="9.140625" style="789"/>
    <col min="3071" max="3071" width="49.42578125" style="789" customWidth="1"/>
    <col min="3072" max="3073" width="3.5703125" style="789" customWidth="1"/>
    <col min="3074" max="3074" width="11.42578125" style="789" customWidth="1"/>
    <col min="3075" max="3077" width="5.7109375" style="789" customWidth="1"/>
    <col min="3078" max="3078" width="9" style="789" customWidth="1"/>
    <col min="3079" max="3079" width="18.7109375" style="789" customWidth="1"/>
    <col min="3080" max="3326" width="9.140625" style="789"/>
    <col min="3327" max="3327" width="49.42578125" style="789" customWidth="1"/>
    <col min="3328" max="3329" width="3.5703125" style="789" customWidth="1"/>
    <col min="3330" max="3330" width="11.42578125" style="789" customWidth="1"/>
    <col min="3331" max="3333" width="5.7109375" style="789" customWidth="1"/>
    <col min="3334" max="3334" width="9" style="789" customWidth="1"/>
    <col min="3335" max="3335" width="18.7109375" style="789" customWidth="1"/>
    <col min="3336" max="3582" width="9.140625" style="789"/>
    <col min="3583" max="3583" width="49.42578125" style="789" customWidth="1"/>
    <col min="3584" max="3585" width="3.5703125" style="789" customWidth="1"/>
    <col min="3586" max="3586" width="11.42578125" style="789" customWidth="1"/>
    <col min="3587" max="3589" width="5.7109375" style="789" customWidth="1"/>
    <col min="3590" max="3590" width="9" style="789" customWidth="1"/>
    <col min="3591" max="3591" width="18.7109375" style="789" customWidth="1"/>
    <col min="3592" max="3838" width="9.140625" style="789"/>
    <col min="3839" max="3839" width="49.42578125" style="789" customWidth="1"/>
    <col min="3840" max="3841" width="3.5703125" style="789" customWidth="1"/>
    <col min="3842" max="3842" width="11.42578125" style="789" customWidth="1"/>
    <col min="3843" max="3845" width="5.7109375" style="789" customWidth="1"/>
    <col min="3846" max="3846" width="9" style="789" customWidth="1"/>
    <col min="3847" max="3847" width="18.7109375" style="789" customWidth="1"/>
    <col min="3848" max="4094" width="9.140625" style="789"/>
    <col min="4095" max="4095" width="49.42578125" style="789" customWidth="1"/>
    <col min="4096" max="4097" width="3.5703125" style="789" customWidth="1"/>
    <col min="4098" max="4098" width="11.42578125" style="789" customWidth="1"/>
    <col min="4099" max="4101" width="5.7109375" style="789" customWidth="1"/>
    <col min="4102" max="4102" width="9" style="789" customWidth="1"/>
    <col min="4103" max="4103" width="18.7109375" style="789" customWidth="1"/>
    <col min="4104" max="4350" width="9.140625" style="789"/>
    <col min="4351" max="4351" width="49.42578125" style="789" customWidth="1"/>
    <col min="4352" max="4353" width="3.5703125" style="789" customWidth="1"/>
    <col min="4354" max="4354" width="11.42578125" style="789" customWidth="1"/>
    <col min="4355" max="4357" width="5.7109375" style="789" customWidth="1"/>
    <col min="4358" max="4358" width="9" style="789" customWidth="1"/>
    <col min="4359" max="4359" width="18.7109375" style="789" customWidth="1"/>
    <col min="4360" max="4606" width="9.140625" style="789"/>
    <col min="4607" max="4607" width="49.42578125" style="789" customWidth="1"/>
    <col min="4608" max="4609" width="3.5703125" style="789" customWidth="1"/>
    <col min="4610" max="4610" width="11.42578125" style="789" customWidth="1"/>
    <col min="4611" max="4613" width="5.7109375" style="789" customWidth="1"/>
    <col min="4614" max="4614" width="9" style="789" customWidth="1"/>
    <col min="4615" max="4615" width="18.7109375" style="789" customWidth="1"/>
    <col min="4616" max="4862" width="9.140625" style="789"/>
    <col min="4863" max="4863" width="49.42578125" style="789" customWidth="1"/>
    <col min="4864" max="4865" width="3.5703125" style="789" customWidth="1"/>
    <col min="4866" max="4866" width="11.42578125" style="789" customWidth="1"/>
    <col min="4867" max="4869" width="5.7109375" style="789" customWidth="1"/>
    <col min="4870" max="4870" width="9" style="789" customWidth="1"/>
    <col min="4871" max="4871" width="18.7109375" style="789" customWidth="1"/>
    <col min="4872" max="5118" width="9.140625" style="789"/>
    <col min="5119" max="5119" width="49.42578125" style="789" customWidth="1"/>
    <col min="5120" max="5121" width="3.5703125" style="789" customWidth="1"/>
    <col min="5122" max="5122" width="11.42578125" style="789" customWidth="1"/>
    <col min="5123" max="5125" width="5.7109375" style="789" customWidth="1"/>
    <col min="5126" max="5126" width="9" style="789" customWidth="1"/>
    <col min="5127" max="5127" width="18.7109375" style="789" customWidth="1"/>
    <col min="5128" max="5374" width="9.140625" style="789"/>
    <col min="5375" max="5375" width="49.42578125" style="789" customWidth="1"/>
    <col min="5376" max="5377" width="3.5703125" style="789" customWidth="1"/>
    <col min="5378" max="5378" width="11.42578125" style="789" customWidth="1"/>
    <col min="5379" max="5381" width="5.7109375" style="789" customWidth="1"/>
    <col min="5382" max="5382" width="9" style="789" customWidth="1"/>
    <col min="5383" max="5383" width="18.7109375" style="789" customWidth="1"/>
    <col min="5384" max="5630" width="9.140625" style="789"/>
    <col min="5631" max="5631" width="49.42578125" style="789" customWidth="1"/>
    <col min="5632" max="5633" width="3.5703125" style="789" customWidth="1"/>
    <col min="5634" max="5634" width="11.42578125" style="789" customWidth="1"/>
    <col min="5635" max="5637" width="5.7109375" style="789" customWidth="1"/>
    <col min="5638" max="5638" width="9" style="789" customWidth="1"/>
    <col min="5639" max="5639" width="18.7109375" style="789" customWidth="1"/>
    <col min="5640" max="5886" width="9.140625" style="789"/>
    <col min="5887" max="5887" width="49.42578125" style="789" customWidth="1"/>
    <col min="5888" max="5889" width="3.5703125" style="789" customWidth="1"/>
    <col min="5890" max="5890" width="11.42578125" style="789" customWidth="1"/>
    <col min="5891" max="5893" width="5.7109375" style="789" customWidth="1"/>
    <col min="5894" max="5894" width="9" style="789" customWidth="1"/>
    <col min="5895" max="5895" width="18.7109375" style="789" customWidth="1"/>
    <col min="5896" max="6142" width="9.140625" style="789"/>
    <col min="6143" max="6143" width="49.42578125" style="789" customWidth="1"/>
    <col min="6144" max="6145" width="3.5703125" style="789" customWidth="1"/>
    <col min="6146" max="6146" width="11.42578125" style="789" customWidth="1"/>
    <col min="6147" max="6149" width="5.7109375" style="789" customWidth="1"/>
    <col min="6150" max="6150" width="9" style="789" customWidth="1"/>
    <col min="6151" max="6151" width="18.7109375" style="789" customWidth="1"/>
    <col min="6152" max="6398" width="9.140625" style="789"/>
    <col min="6399" max="6399" width="49.42578125" style="789" customWidth="1"/>
    <col min="6400" max="6401" width="3.5703125" style="789" customWidth="1"/>
    <col min="6402" max="6402" width="11.42578125" style="789" customWidth="1"/>
    <col min="6403" max="6405" width="5.7109375" style="789" customWidth="1"/>
    <col min="6406" max="6406" width="9" style="789" customWidth="1"/>
    <col min="6407" max="6407" width="18.7109375" style="789" customWidth="1"/>
    <col min="6408" max="6654" width="9.140625" style="789"/>
    <col min="6655" max="6655" width="49.42578125" style="789" customWidth="1"/>
    <col min="6656" max="6657" width="3.5703125" style="789" customWidth="1"/>
    <col min="6658" max="6658" width="11.42578125" style="789" customWidth="1"/>
    <col min="6659" max="6661" width="5.7109375" style="789" customWidth="1"/>
    <col min="6662" max="6662" width="9" style="789" customWidth="1"/>
    <col min="6663" max="6663" width="18.7109375" style="789" customWidth="1"/>
    <col min="6664" max="6910" width="9.140625" style="789"/>
    <col min="6911" max="6911" width="49.42578125" style="789" customWidth="1"/>
    <col min="6912" max="6913" width="3.5703125" style="789" customWidth="1"/>
    <col min="6914" max="6914" width="11.42578125" style="789" customWidth="1"/>
    <col min="6915" max="6917" width="5.7109375" style="789" customWidth="1"/>
    <col min="6918" max="6918" width="9" style="789" customWidth="1"/>
    <col min="6919" max="6919" width="18.7109375" style="789" customWidth="1"/>
    <col min="6920" max="7166" width="9.140625" style="789"/>
    <col min="7167" max="7167" width="49.42578125" style="789" customWidth="1"/>
    <col min="7168" max="7169" width="3.5703125" style="789" customWidth="1"/>
    <col min="7170" max="7170" width="11.42578125" style="789" customWidth="1"/>
    <col min="7171" max="7173" width="5.7109375" style="789" customWidth="1"/>
    <col min="7174" max="7174" width="9" style="789" customWidth="1"/>
    <col min="7175" max="7175" width="18.7109375" style="789" customWidth="1"/>
    <col min="7176" max="7422" width="9.140625" style="789"/>
    <col min="7423" max="7423" width="49.42578125" style="789" customWidth="1"/>
    <col min="7424" max="7425" width="3.5703125" style="789" customWidth="1"/>
    <col min="7426" max="7426" width="11.42578125" style="789" customWidth="1"/>
    <col min="7427" max="7429" width="5.7109375" style="789" customWidth="1"/>
    <col min="7430" max="7430" width="9" style="789" customWidth="1"/>
    <col min="7431" max="7431" width="18.7109375" style="789" customWidth="1"/>
    <col min="7432" max="7678" width="9.140625" style="789"/>
    <col min="7679" max="7679" width="49.42578125" style="789" customWidth="1"/>
    <col min="7680" max="7681" width="3.5703125" style="789" customWidth="1"/>
    <col min="7682" max="7682" width="11.42578125" style="789" customWidth="1"/>
    <col min="7683" max="7685" width="5.7109375" style="789" customWidth="1"/>
    <col min="7686" max="7686" width="9" style="789" customWidth="1"/>
    <col min="7687" max="7687" width="18.7109375" style="789" customWidth="1"/>
    <col min="7688" max="7934" width="9.140625" style="789"/>
    <col min="7935" max="7935" width="49.42578125" style="789" customWidth="1"/>
    <col min="7936" max="7937" width="3.5703125" style="789" customWidth="1"/>
    <col min="7938" max="7938" width="11.42578125" style="789" customWidth="1"/>
    <col min="7939" max="7941" width="5.7109375" style="789" customWidth="1"/>
    <col min="7942" max="7942" width="9" style="789" customWidth="1"/>
    <col min="7943" max="7943" width="18.7109375" style="789" customWidth="1"/>
    <col min="7944" max="8190" width="9.140625" style="789"/>
    <col min="8191" max="8191" width="49.42578125" style="789" customWidth="1"/>
    <col min="8192" max="8193" width="3.5703125" style="789" customWidth="1"/>
    <col min="8194" max="8194" width="11.42578125" style="789" customWidth="1"/>
    <col min="8195" max="8197" width="5.7109375" style="789" customWidth="1"/>
    <col min="8198" max="8198" width="9" style="789" customWidth="1"/>
    <col min="8199" max="8199" width="18.7109375" style="789" customWidth="1"/>
    <col min="8200" max="8446" width="9.140625" style="789"/>
    <col min="8447" max="8447" width="49.42578125" style="789" customWidth="1"/>
    <col min="8448" max="8449" width="3.5703125" style="789" customWidth="1"/>
    <col min="8450" max="8450" width="11.42578125" style="789" customWidth="1"/>
    <col min="8451" max="8453" width="5.7109375" style="789" customWidth="1"/>
    <col min="8454" max="8454" width="9" style="789" customWidth="1"/>
    <col min="8455" max="8455" width="18.7109375" style="789" customWidth="1"/>
    <col min="8456" max="8702" width="9.140625" style="789"/>
    <col min="8703" max="8703" width="49.42578125" style="789" customWidth="1"/>
    <col min="8704" max="8705" width="3.5703125" style="789" customWidth="1"/>
    <col min="8706" max="8706" width="11.42578125" style="789" customWidth="1"/>
    <col min="8707" max="8709" width="5.7109375" style="789" customWidth="1"/>
    <col min="8710" max="8710" width="9" style="789" customWidth="1"/>
    <col min="8711" max="8711" width="18.7109375" style="789" customWidth="1"/>
    <col min="8712" max="8958" width="9.140625" style="789"/>
    <col min="8959" max="8959" width="49.42578125" style="789" customWidth="1"/>
    <col min="8960" max="8961" width="3.5703125" style="789" customWidth="1"/>
    <col min="8962" max="8962" width="11.42578125" style="789" customWidth="1"/>
    <col min="8963" max="8965" width="5.7109375" style="789" customWidth="1"/>
    <col min="8966" max="8966" width="9" style="789" customWidth="1"/>
    <col min="8967" max="8967" width="18.7109375" style="789" customWidth="1"/>
    <col min="8968" max="9214" width="9.140625" style="789"/>
    <col min="9215" max="9215" width="49.42578125" style="789" customWidth="1"/>
    <col min="9216" max="9217" width="3.5703125" style="789" customWidth="1"/>
    <col min="9218" max="9218" width="11.42578125" style="789" customWidth="1"/>
    <col min="9219" max="9221" width="5.7109375" style="789" customWidth="1"/>
    <col min="9222" max="9222" width="9" style="789" customWidth="1"/>
    <col min="9223" max="9223" width="18.7109375" style="789" customWidth="1"/>
    <col min="9224" max="9470" width="9.140625" style="789"/>
    <col min="9471" max="9471" width="49.42578125" style="789" customWidth="1"/>
    <col min="9472" max="9473" width="3.5703125" style="789" customWidth="1"/>
    <col min="9474" max="9474" width="11.42578125" style="789" customWidth="1"/>
    <col min="9475" max="9477" width="5.7109375" style="789" customWidth="1"/>
    <col min="9478" max="9478" width="9" style="789" customWidth="1"/>
    <col min="9479" max="9479" width="18.7109375" style="789" customWidth="1"/>
    <col min="9480" max="9726" width="9.140625" style="789"/>
    <col min="9727" max="9727" width="49.42578125" style="789" customWidth="1"/>
    <col min="9728" max="9729" width="3.5703125" style="789" customWidth="1"/>
    <col min="9730" max="9730" width="11.42578125" style="789" customWidth="1"/>
    <col min="9731" max="9733" width="5.7109375" style="789" customWidth="1"/>
    <col min="9734" max="9734" width="9" style="789" customWidth="1"/>
    <col min="9735" max="9735" width="18.7109375" style="789" customWidth="1"/>
    <col min="9736" max="9982" width="9.140625" style="789"/>
    <col min="9983" max="9983" width="49.42578125" style="789" customWidth="1"/>
    <col min="9984" max="9985" width="3.5703125" style="789" customWidth="1"/>
    <col min="9986" max="9986" width="11.42578125" style="789" customWidth="1"/>
    <col min="9987" max="9989" width="5.7109375" style="789" customWidth="1"/>
    <col min="9990" max="9990" width="9" style="789" customWidth="1"/>
    <col min="9991" max="9991" width="18.7109375" style="789" customWidth="1"/>
    <col min="9992" max="10238" width="9.140625" style="789"/>
    <col min="10239" max="10239" width="49.42578125" style="789" customWidth="1"/>
    <col min="10240" max="10241" width="3.5703125" style="789" customWidth="1"/>
    <col min="10242" max="10242" width="11.42578125" style="789" customWidth="1"/>
    <col min="10243" max="10245" width="5.7109375" style="789" customWidth="1"/>
    <col min="10246" max="10246" width="9" style="789" customWidth="1"/>
    <col min="10247" max="10247" width="18.7109375" style="789" customWidth="1"/>
    <col min="10248" max="10494" width="9.140625" style="789"/>
    <col min="10495" max="10495" width="49.42578125" style="789" customWidth="1"/>
    <col min="10496" max="10497" width="3.5703125" style="789" customWidth="1"/>
    <col min="10498" max="10498" width="11.42578125" style="789" customWidth="1"/>
    <col min="10499" max="10501" width="5.7109375" style="789" customWidth="1"/>
    <col min="10502" max="10502" width="9" style="789" customWidth="1"/>
    <col min="10503" max="10503" width="18.7109375" style="789" customWidth="1"/>
    <col min="10504" max="10750" width="9.140625" style="789"/>
    <col min="10751" max="10751" width="49.42578125" style="789" customWidth="1"/>
    <col min="10752" max="10753" width="3.5703125" style="789" customWidth="1"/>
    <col min="10754" max="10754" width="11.42578125" style="789" customWidth="1"/>
    <col min="10755" max="10757" width="5.7109375" style="789" customWidth="1"/>
    <col min="10758" max="10758" width="9" style="789" customWidth="1"/>
    <col min="10759" max="10759" width="18.7109375" style="789" customWidth="1"/>
    <col min="10760" max="11006" width="9.140625" style="789"/>
    <col min="11007" max="11007" width="49.42578125" style="789" customWidth="1"/>
    <col min="11008" max="11009" width="3.5703125" style="789" customWidth="1"/>
    <col min="11010" max="11010" width="11.42578125" style="789" customWidth="1"/>
    <col min="11011" max="11013" width="5.7109375" style="789" customWidth="1"/>
    <col min="11014" max="11014" width="9" style="789" customWidth="1"/>
    <col min="11015" max="11015" width="18.7109375" style="789" customWidth="1"/>
    <col min="11016" max="11262" width="9.140625" style="789"/>
    <col min="11263" max="11263" width="49.42578125" style="789" customWidth="1"/>
    <col min="11264" max="11265" width="3.5703125" style="789" customWidth="1"/>
    <col min="11266" max="11266" width="11.42578125" style="789" customWidth="1"/>
    <col min="11267" max="11269" width="5.7109375" style="789" customWidth="1"/>
    <col min="11270" max="11270" width="9" style="789" customWidth="1"/>
    <col min="11271" max="11271" width="18.7109375" style="789" customWidth="1"/>
    <col min="11272" max="11518" width="9.140625" style="789"/>
    <col min="11519" max="11519" width="49.42578125" style="789" customWidth="1"/>
    <col min="11520" max="11521" width="3.5703125" style="789" customWidth="1"/>
    <col min="11522" max="11522" width="11.42578125" style="789" customWidth="1"/>
    <col min="11523" max="11525" width="5.7109375" style="789" customWidth="1"/>
    <col min="11526" max="11526" width="9" style="789" customWidth="1"/>
    <col min="11527" max="11527" width="18.7109375" style="789" customWidth="1"/>
    <col min="11528" max="11774" width="9.140625" style="789"/>
    <col min="11775" max="11775" width="49.42578125" style="789" customWidth="1"/>
    <col min="11776" max="11777" width="3.5703125" style="789" customWidth="1"/>
    <col min="11778" max="11778" width="11.42578125" style="789" customWidth="1"/>
    <col min="11779" max="11781" width="5.7109375" style="789" customWidth="1"/>
    <col min="11782" max="11782" width="9" style="789" customWidth="1"/>
    <col min="11783" max="11783" width="18.7109375" style="789" customWidth="1"/>
    <col min="11784" max="12030" width="9.140625" style="789"/>
    <col min="12031" max="12031" width="49.42578125" style="789" customWidth="1"/>
    <col min="12032" max="12033" width="3.5703125" style="789" customWidth="1"/>
    <col min="12034" max="12034" width="11.42578125" style="789" customWidth="1"/>
    <col min="12035" max="12037" width="5.7109375" style="789" customWidth="1"/>
    <col min="12038" max="12038" width="9" style="789" customWidth="1"/>
    <col min="12039" max="12039" width="18.7109375" style="789" customWidth="1"/>
    <col min="12040" max="12286" width="9.140625" style="789"/>
    <col min="12287" max="12287" width="49.42578125" style="789" customWidth="1"/>
    <col min="12288" max="12289" width="3.5703125" style="789" customWidth="1"/>
    <col min="12290" max="12290" width="11.42578125" style="789" customWidth="1"/>
    <col min="12291" max="12293" width="5.7109375" style="789" customWidth="1"/>
    <col min="12294" max="12294" width="9" style="789" customWidth="1"/>
    <col min="12295" max="12295" width="18.7109375" style="789" customWidth="1"/>
    <col min="12296" max="12542" width="9.140625" style="789"/>
    <col min="12543" max="12543" width="49.42578125" style="789" customWidth="1"/>
    <col min="12544" max="12545" width="3.5703125" style="789" customWidth="1"/>
    <col min="12546" max="12546" width="11.42578125" style="789" customWidth="1"/>
    <col min="12547" max="12549" width="5.7109375" style="789" customWidth="1"/>
    <col min="12550" max="12550" width="9" style="789" customWidth="1"/>
    <col min="12551" max="12551" width="18.7109375" style="789" customWidth="1"/>
    <col min="12552" max="12798" width="9.140625" style="789"/>
    <col min="12799" max="12799" width="49.42578125" style="789" customWidth="1"/>
    <col min="12800" max="12801" width="3.5703125" style="789" customWidth="1"/>
    <col min="12802" max="12802" width="11.42578125" style="789" customWidth="1"/>
    <col min="12803" max="12805" width="5.7109375" style="789" customWidth="1"/>
    <col min="12806" max="12806" width="9" style="789" customWidth="1"/>
    <col min="12807" max="12807" width="18.7109375" style="789" customWidth="1"/>
    <col min="12808" max="13054" width="9.140625" style="789"/>
    <col min="13055" max="13055" width="49.42578125" style="789" customWidth="1"/>
    <col min="13056" max="13057" width="3.5703125" style="789" customWidth="1"/>
    <col min="13058" max="13058" width="11.42578125" style="789" customWidth="1"/>
    <col min="13059" max="13061" width="5.7109375" style="789" customWidth="1"/>
    <col min="13062" max="13062" width="9" style="789" customWidth="1"/>
    <col min="13063" max="13063" width="18.7109375" style="789" customWidth="1"/>
    <col min="13064" max="13310" width="9.140625" style="789"/>
    <col min="13311" max="13311" width="49.42578125" style="789" customWidth="1"/>
    <col min="13312" max="13313" width="3.5703125" style="789" customWidth="1"/>
    <col min="13314" max="13314" width="11.42578125" style="789" customWidth="1"/>
    <col min="13315" max="13317" width="5.7109375" style="789" customWidth="1"/>
    <col min="13318" max="13318" width="9" style="789" customWidth="1"/>
    <col min="13319" max="13319" width="18.7109375" style="789" customWidth="1"/>
    <col min="13320" max="13566" width="9.140625" style="789"/>
    <col min="13567" max="13567" width="49.42578125" style="789" customWidth="1"/>
    <col min="13568" max="13569" width="3.5703125" style="789" customWidth="1"/>
    <col min="13570" max="13570" width="11.42578125" style="789" customWidth="1"/>
    <col min="13571" max="13573" width="5.7109375" style="789" customWidth="1"/>
    <col min="13574" max="13574" width="9" style="789" customWidth="1"/>
    <col min="13575" max="13575" width="18.7109375" style="789" customWidth="1"/>
    <col min="13576" max="13822" width="9.140625" style="789"/>
    <col min="13823" max="13823" width="49.42578125" style="789" customWidth="1"/>
    <col min="13824" max="13825" width="3.5703125" style="789" customWidth="1"/>
    <col min="13826" max="13826" width="11.42578125" style="789" customWidth="1"/>
    <col min="13827" max="13829" width="5.7109375" style="789" customWidth="1"/>
    <col min="13830" max="13830" width="9" style="789" customWidth="1"/>
    <col min="13831" max="13831" width="18.7109375" style="789" customWidth="1"/>
    <col min="13832" max="14078" width="9.140625" style="789"/>
    <col min="14079" max="14079" width="49.42578125" style="789" customWidth="1"/>
    <col min="14080" max="14081" width="3.5703125" style="789" customWidth="1"/>
    <col min="14082" max="14082" width="11.42578125" style="789" customWidth="1"/>
    <col min="14083" max="14085" width="5.7109375" style="789" customWidth="1"/>
    <col min="14086" max="14086" width="9" style="789" customWidth="1"/>
    <col min="14087" max="14087" width="18.7109375" style="789" customWidth="1"/>
    <col min="14088" max="14334" width="9.140625" style="789"/>
    <col min="14335" max="14335" width="49.42578125" style="789" customWidth="1"/>
    <col min="14336" max="14337" width="3.5703125" style="789" customWidth="1"/>
    <col min="14338" max="14338" width="11.42578125" style="789" customWidth="1"/>
    <col min="14339" max="14341" width="5.7109375" style="789" customWidth="1"/>
    <col min="14342" max="14342" width="9" style="789" customWidth="1"/>
    <col min="14343" max="14343" width="18.7109375" style="789" customWidth="1"/>
    <col min="14344" max="14590" width="9.140625" style="789"/>
    <col min="14591" max="14591" width="49.42578125" style="789" customWidth="1"/>
    <col min="14592" max="14593" width="3.5703125" style="789" customWidth="1"/>
    <col min="14594" max="14594" width="11.42578125" style="789" customWidth="1"/>
    <col min="14595" max="14597" width="5.7109375" style="789" customWidth="1"/>
    <col min="14598" max="14598" width="9" style="789" customWidth="1"/>
    <col min="14599" max="14599" width="18.7109375" style="789" customWidth="1"/>
    <col min="14600" max="14846" width="9.140625" style="789"/>
    <col min="14847" max="14847" width="49.42578125" style="789" customWidth="1"/>
    <col min="14848" max="14849" width="3.5703125" style="789" customWidth="1"/>
    <col min="14850" max="14850" width="11.42578125" style="789" customWidth="1"/>
    <col min="14851" max="14853" width="5.7109375" style="789" customWidth="1"/>
    <col min="14854" max="14854" width="9" style="789" customWidth="1"/>
    <col min="14855" max="14855" width="18.7109375" style="789" customWidth="1"/>
    <col min="14856" max="15102" width="9.140625" style="789"/>
    <col min="15103" max="15103" width="49.42578125" style="789" customWidth="1"/>
    <col min="15104" max="15105" width="3.5703125" style="789" customWidth="1"/>
    <col min="15106" max="15106" width="11.42578125" style="789" customWidth="1"/>
    <col min="15107" max="15109" width="5.7109375" style="789" customWidth="1"/>
    <col min="15110" max="15110" width="9" style="789" customWidth="1"/>
    <col min="15111" max="15111" width="18.7109375" style="789" customWidth="1"/>
    <col min="15112" max="15358" width="9.140625" style="789"/>
    <col min="15359" max="15359" width="49.42578125" style="789" customWidth="1"/>
    <col min="15360" max="15361" width="3.5703125" style="789" customWidth="1"/>
    <col min="15362" max="15362" width="11.42578125" style="789" customWidth="1"/>
    <col min="15363" max="15365" width="5.7109375" style="789" customWidth="1"/>
    <col min="15366" max="15366" width="9" style="789" customWidth="1"/>
    <col min="15367" max="15367" width="18.7109375" style="789" customWidth="1"/>
    <col min="15368" max="15614" width="9.140625" style="789"/>
    <col min="15615" max="15615" width="49.42578125" style="789" customWidth="1"/>
    <col min="15616" max="15617" width="3.5703125" style="789" customWidth="1"/>
    <col min="15618" max="15618" width="11.42578125" style="789" customWidth="1"/>
    <col min="15619" max="15621" width="5.7109375" style="789" customWidth="1"/>
    <col min="15622" max="15622" width="9" style="789" customWidth="1"/>
    <col min="15623" max="15623" width="18.7109375" style="789" customWidth="1"/>
    <col min="15624" max="15870" width="9.140625" style="789"/>
    <col min="15871" max="15871" width="49.42578125" style="789" customWidth="1"/>
    <col min="15872" max="15873" width="3.5703125" style="789" customWidth="1"/>
    <col min="15874" max="15874" width="11.42578125" style="789" customWidth="1"/>
    <col min="15875" max="15877" width="5.7109375" style="789" customWidth="1"/>
    <col min="15878" max="15878" width="9" style="789" customWidth="1"/>
    <col min="15879" max="15879" width="18.7109375" style="789" customWidth="1"/>
    <col min="15880" max="16126" width="9.140625" style="789"/>
    <col min="16127" max="16127" width="49.42578125" style="789" customWidth="1"/>
    <col min="16128" max="16129" width="3.5703125" style="789" customWidth="1"/>
    <col min="16130" max="16130" width="11.42578125" style="789" customWidth="1"/>
    <col min="16131" max="16133" width="5.7109375" style="789" customWidth="1"/>
    <col min="16134" max="16134" width="9" style="789" customWidth="1"/>
    <col min="16135" max="16135" width="18.7109375" style="789" customWidth="1"/>
    <col min="16136" max="16384" width="9.140625" style="789"/>
  </cols>
  <sheetData>
    <row r="1" spans="1:10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10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  <c r="J2" s="903"/>
    </row>
    <row r="3" spans="1:10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  <c r="J3" s="832"/>
    </row>
    <row r="4" spans="1:10" s="829" customFormat="1" ht="17.25" customHeight="1" x14ac:dyDescent="0.2">
      <c r="D4" s="1141"/>
      <c r="E4" s="1141"/>
      <c r="F4" s="1141" t="s">
        <v>880</v>
      </c>
      <c r="G4" s="1141"/>
      <c r="H4" s="1141"/>
      <c r="I4" s="837"/>
    </row>
    <row r="5" spans="1:10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10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  <c r="J6" s="887"/>
    </row>
    <row r="7" spans="1:10" s="829" customFormat="1" ht="15" customHeight="1" x14ac:dyDescent="0.25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  <c r="J7" s="888"/>
    </row>
    <row r="8" spans="1:10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  <c r="J8" s="904"/>
    </row>
    <row r="9" spans="1:10" s="829" customFormat="1" ht="13.5" customHeight="1" x14ac:dyDescent="0.25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  <c r="J9" s="888"/>
    </row>
    <row r="10" spans="1:10" s="829" customFormat="1" ht="13.5" customHeight="1" x14ac:dyDescent="0.25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  <c r="J10" s="888"/>
    </row>
    <row r="11" spans="1:10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  <c r="J11" s="839"/>
    </row>
    <row r="12" spans="1:10" s="179" customFormat="1" ht="33.75" customHeight="1" x14ac:dyDescent="0.2">
      <c r="A12" s="1142" t="s">
        <v>107</v>
      </c>
      <c r="B12" s="1142"/>
      <c r="C12" s="1142"/>
      <c r="D12" s="1142"/>
      <c r="E12" s="1142"/>
      <c r="F12" s="1142"/>
      <c r="G12" s="1142"/>
      <c r="H12" s="1142"/>
      <c r="I12" s="638"/>
    </row>
    <row r="13" spans="1:10" s="179" customFormat="1" ht="6" customHeight="1" x14ac:dyDescent="0.2">
      <c r="E13" s="842"/>
      <c r="F13" s="842"/>
      <c r="G13" s="842"/>
      <c r="H13" s="842"/>
      <c r="I13" s="638"/>
    </row>
    <row r="14" spans="1:10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10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10" x14ac:dyDescent="0.25">
      <c r="A16" s="564" t="s">
        <v>640</v>
      </c>
      <c r="B16" s="581" t="s">
        <v>106</v>
      </c>
      <c r="C16" s="581" t="s">
        <v>108</v>
      </c>
      <c r="D16" s="581" t="s">
        <v>485</v>
      </c>
      <c r="E16" s="581" t="s">
        <v>345</v>
      </c>
      <c r="F16" s="586" t="s">
        <v>345</v>
      </c>
      <c r="G16" s="559"/>
      <c r="H16" s="580">
        <f>H17+H24+H44+H46+H48+H52</f>
        <v>3311.3</v>
      </c>
    </row>
    <row r="17" spans="1:10" x14ac:dyDescent="0.25">
      <c r="A17" s="565" t="s">
        <v>641</v>
      </c>
      <c r="B17" s="846" t="s">
        <v>106</v>
      </c>
      <c r="C17" s="846" t="s">
        <v>108</v>
      </c>
      <c r="D17" s="846" t="s">
        <v>112</v>
      </c>
      <c r="E17" s="846" t="s">
        <v>114</v>
      </c>
      <c r="F17" s="558">
        <v>210</v>
      </c>
      <c r="G17" s="558"/>
      <c r="H17" s="847">
        <f>H18+H19+H21+H22</f>
        <v>3311.3</v>
      </c>
    </row>
    <row r="18" spans="1:10" x14ac:dyDescent="0.25">
      <c r="A18" s="566" t="s">
        <v>346</v>
      </c>
      <c r="B18" s="848" t="s">
        <v>106</v>
      </c>
      <c r="C18" s="848" t="s">
        <v>108</v>
      </c>
      <c r="D18" s="848" t="s">
        <v>112</v>
      </c>
      <c r="E18" s="581" t="s">
        <v>414</v>
      </c>
      <c r="F18" s="559">
        <v>211</v>
      </c>
      <c r="G18" s="559"/>
      <c r="H18" s="850">
        <f>рВДЛ!G12</f>
        <v>2659.3</v>
      </c>
      <c r="J18" s="811"/>
    </row>
    <row r="19" spans="1:10" x14ac:dyDescent="0.25">
      <c r="A19" s="566" t="s">
        <v>642</v>
      </c>
      <c r="B19" s="848"/>
      <c r="C19" s="848"/>
      <c r="D19" s="848"/>
      <c r="E19" s="848"/>
      <c r="F19" s="559">
        <v>212</v>
      </c>
      <c r="G19" s="559"/>
      <c r="H19" s="850">
        <f>H20</f>
        <v>0</v>
      </c>
      <c r="J19" s="811"/>
    </row>
    <row r="20" spans="1:10" x14ac:dyDescent="0.25">
      <c r="A20" s="567" t="s">
        <v>347</v>
      </c>
      <c r="B20" s="852"/>
      <c r="C20" s="852"/>
      <c r="D20" s="852"/>
      <c r="E20" s="852"/>
      <c r="F20" s="560">
        <v>212</v>
      </c>
      <c r="G20" s="560">
        <v>610</v>
      </c>
      <c r="H20" s="281"/>
    </row>
    <row r="21" spans="1:10" x14ac:dyDescent="0.25">
      <c r="A21" s="566" t="s">
        <v>643</v>
      </c>
      <c r="B21" s="848" t="s">
        <v>106</v>
      </c>
      <c r="C21" s="848" t="s">
        <v>108</v>
      </c>
      <c r="D21" s="848" t="s">
        <v>112</v>
      </c>
      <c r="E21" s="581" t="s">
        <v>415</v>
      </c>
      <c r="F21" s="559">
        <v>213</v>
      </c>
      <c r="G21" s="559"/>
      <c r="H21" s="850">
        <f>рВДЛ!G22</f>
        <v>652</v>
      </c>
    </row>
    <row r="22" spans="1:10" ht="24" x14ac:dyDescent="0.25">
      <c r="A22" s="566" t="s">
        <v>644</v>
      </c>
      <c r="B22" s="848"/>
      <c r="C22" s="848"/>
      <c r="D22" s="848"/>
      <c r="E22" s="848"/>
      <c r="F22" s="559">
        <v>214</v>
      </c>
      <c r="G22" s="559"/>
      <c r="H22" s="850">
        <f>H23</f>
        <v>0</v>
      </c>
    </row>
    <row r="23" spans="1:10" x14ac:dyDescent="0.25">
      <c r="A23" s="567" t="s">
        <v>423</v>
      </c>
      <c r="B23" s="852"/>
      <c r="C23" s="852"/>
      <c r="D23" s="852"/>
      <c r="E23" s="852"/>
      <c r="F23" s="560">
        <v>214</v>
      </c>
      <c r="G23" s="560">
        <v>831</v>
      </c>
      <c r="H23" s="281"/>
    </row>
    <row r="24" spans="1:10" x14ac:dyDescent="0.25">
      <c r="A24" s="565" t="s">
        <v>645</v>
      </c>
      <c r="B24" s="846"/>
      <c r="C24" s="846"/>
      <c r="D24" s="846"/>
      <c r="E24" s="846"/>
      <c r="F24" s="558">
        <v>220</v>
      </c>
      <c r="G24" s="558"/>
      <c r="H24" s="847">
        <f>H25+H26+H28+H32+H36</f>
        <v>0</v>
      </c>
    </row>
    <row r="25" spans="1:10" x14ac:dyDescent="0.25">
      <c r="A25" s="566" t="s">
        <v>351</v>
      </c>
      <c r="B25" s="848"/>
      <c r="C25" s="848"/>
      <c r="D25" s="848"/>
      <c r="E25" s="848"/>
      <c r="F25" s="559">
        <v>221</v>
      </c>
      <c r="G25" s="559"/>
      <c r="H25" s="850"/>
    </row>
    <row r="26" spans="1:10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10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10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10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10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10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10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/>
      <c r="C36" s="848"/>
      <c r="D36" s="848"/>
      <c r="E36" s="848"/>
      <c r="F36" s="559" t="s">
        <v>350</v>
      </c>
      <c r="G36" s="559"/>
      <c r="H36" s="850">
        <f>SUM(H37:H43)</f>
        <v>0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9" x14ac:dyDescent="0.25">
      <c r="A38" s="567" t="s">
        <v>361</v>
      </c>
      <c r="B38" s="852"/>
      <c r="C38" s="852"/>
      <c r="D38" s="852"/>
      <c r="E38" s="852"/>
      <c r="F38" s="560">
        <v>226</v>
      </c>
      <c r="G38" s="560" t="s">
        <v>362</v>
      </c>
      <c r="H38" s="281"/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2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2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6" t="s">
        <v>652</v>
      </c>
      <c r="B47" s="854"/>
      <c r="C47" s="854"/>
      <c r="D47" s="854"/>
      <c r="E47" s="854"/>
      <c r="F47" s="559">
        <v>251</v>
      </c>
      <c r="G47" s="559"/>
      <c r="H47" s="580"/>
    </row>
    <row r="48" spans="1:9" x14ac:dyDescent="0.25">
      <c r="A48" s="565" t="s">
        <v>653</v>
      </c>
      <c r="B48" s="857"/>
      <c r="C48" s="857"/>
      <c r="D48" s="857"/>
      <c r="E48" s="857"/>
      <c r="F48" s="558" t="s">
        <v>366</v>
      </c>
      <c r="G48" s="558"/>
      <c r="H48" s="858">
        <f>H49+H51</f>
        <v>0</v>
      </c>
    </row>
    <row r="49" spans="1:9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9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9" ht="24" x14ac:dyDescent="0.25">
      <c r="A51" s="566" t="s">
        <v>382</v>
      </c>
      <c r="B51" s="848" t="s">
        <v>106</v>
      </c>
      <c r="C51" s="848" t="s">
        <v>108</v>
      </c>
      <c r="D51" s="848" t="s">
        <v>112</v>
      </c>
      <c r="E51" s="848" t="s">
        <v>414</v>
      </c>
      <c r="F51" s="559">
        <v>266</v>
      </c>
      <c r="G51" s="559"/>
      <c r="H51" s="850">
        <f>рВДЛ!I29</f>
        <v>0</v>
      </c>
      <c r="I51" s="638">
        <v>-27000</v>
      </c>
    </row>
    <row r="52" spans="1:9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9" x14ac:dyDescent="0.25">
      <c r="A53" s="568" t="s">
        <v>379</v>
      </c>
      <c r="B53" s="854"/>
      <c r="C53" s="854"/>
      <c r="D53" s="854"/>
      <c r="E53" s="854"/>
      <c r="F53" s="562">
        <v>291</v>
      </c>
      <c r="G53" s="562"/>
      <c r="H53" s="580"/>
    </row>
    <row r="54" spans="1:9" x14ac:dyDescent="0.25">
      <c r="A54" s="568" t="s">
        <v>380</v>
      </c>
      <c r="B54" s="848"/>
      <c r="C54" s="848"/>
      <c r="D54" s="848"/>
      <c r="E54" s="848"/>
      <c r="F54" s="562">
        <v>292</v>
      </c>
      <c r="G54" s="562"/>
      <c r="H54" s="850"/>
    </row>
    <row r="55" spans="1:9" x14ac:dyDescent="0.25">
      <c r="A55" s="568" t="s">
        <v>381</v>
      </c>
      <c r="B55" s="848"/>
      <c r="C55" s="848"/>
      <c r="D55" s="848"/>
      <c r="E55" s="848"/>
      <c r="F55" s="562">
        <v>293</v>
      </c>
      <c r="G55" s="562"/>
      <c r="H55" s="850"/>
    </row>
    <row r="56" spans="1:9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9" x14ac:dyDescent="0.25">
      <c r="A57" s="568" t="s">
        <v>655</v>
      </c>
      <c r="B57" s="848"/>
      <c r="C57" s="848"/>
      <c r="D57" s="848"/>
      <c r="E57" s="848"/>
      <c r="F57" s="562">
        <v>296</v>
      </c>
      <c r="G57" s="562"/>
      <c r="H57" s="850"/>
    </row>
    <row r="58" spans="1:9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9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9" x14ac:dyDescent="0.25">
      <c r="A60" s="566" t="s">
        <v>372</v>
      </c>
      <c r="B60" s="854"/>
      <c r="C60" s="854"/>
      <c r="D60" s="854"/>
      <c r="E60" s="854"/>
      <c r="F60" s="559" t="s">
        <v>373</v>
      </c>
      <c r="G60" s="559"/>
      <c r="H60" s="580">
        <f>H61</f>
        <v>0</v>
      </c>
    </row>
    <row r="61" spans="1:9" x14ac:dyDescent="0.25">
      <c r="A61" s="567" t="s">
        <v>374</v>
      </c>
      <c r="B61" s="848"/>
      <c r="C61" s="848"/>
      <c r="D61" s="848"/>
      <c r="E61" s="848"/>
      <c r="F61" s="560">
        <v>310</v>
      </c>
      <c r="G61" s="560" t="s">
        <v>375</v>
      </c>
      <c r="H61" s="281"/>
    </row>
    <row r="62" spans="1:9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9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9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106</v>
      </c>
      <c r="C65" s="848" t="s">
        <v>108</v>
      </c>
      <c r="D65" s="848" t="s">
        <v>112</v>
      </c>
      <c r="E65" s="848" t="s">
        <v>114</v>
      </c>
      <c r="F65" s="563"/>
      <c r="G65" s="563"/>
      <c r="H65" s="850">
        <f>H18+H21+H51</f>
        <v>3311.3</v>
      </c>
    </row>
    <row r="66" spans="1:9" x14ac:dyDescent="0.25">
      <c r="A66" s="571" t="s">
        <v>377</v>
      </c>
      <c r="B66" s="848" t="s">
        <v>106</v>
      </c>
      <c r="C66" s="848" t="s">
        <v>108</v>
      </c>
      <c r="D66" s="848" t="s">
        <v>485</v>
      </c>
      <c r="E66" s="848" t="s">
        <v>345</v>
      </c>
      <c r="F66" s="570"/>
      <c r="G66" s="570"/>
      <c r="H66" s="850">
        <f>H59+H16</f>
        <v>3311.3</v>
      </c>
      <c r="I66" s="638">
        <f>SUM(I16:I64)</f>
        <v>-27000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14:A15"/>
    <mergeCell ref="B14:G14"/>
    <mergeCell ref="H14:H15"/>
    <mergeCell ref="A10:D10"/>
    <mergeCell ref="A6:H6"/>
    <mergeCell ref="A7:H7"/>
    <mergeCell ref="E8:F8"/>
    <mergeCell ref="G8:H8"/>
    <mergeCell ref="E9:F9"/>
    <mergeCell ref="G9:H9"/>
    <mergeCell ref="A9:D9"/>
    <mergeCell ref="E10:F10"/>
    <mergeCell ref="G10:H10"/>
    <mergeCell ref="E11:F11"/>
    <mergeCell ref="G11:H11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52"/>
  <sheetViews>
    <sheetView topLeftCell="A4" workbookViewId="0">
      <selection activeCell="L28" sqref="L28"/>
    </sheetView>
  </sheetViews>
  <sheetFormatPr defaultRowHeight="15" x14ac:dyDescent="0.25"/>
  <cols>
    <col min="1" max="1" width="3.7109375" style="145" customWidth="1"/>
    <col min="2" max="2" width="25.140625" style="145" customWidth="1"/>
    <col min="3" max="3" width="8.7109375" style="145" customWidth="1"/>
    <col min="4" max="4" width="8" style="145" customWidth="1"/>
    <col min="5" max="5" width="10.5703125" style="145" customWidth="1"/>
    <col min="6" max="6" width="13.28515625" style="145" customWidth="1"/>
    <col min="7" max="7" width="11.7109375" style="145" customWidth="1"/>
    <col min="8" max="8" width="11.5703125" style="145" customWidth="1"/>
    <col min="9" max="9" width="16.7109375" style="145" customWidth="1"/>
    <col min="10" max="10" width="12" style="145" customWidth="1"/>
    <col min="11" max="11" width="12.140625" style="145" customWidth="1"/>
    <col min="12" max="12" width="13" style="145" customWidth="1"/>
    <col min="13" max="13" width="11.5703125" style="145" customWidth="1"/>
    <col min="14" max="14" width="12.140625" style="145" customWidth="1"/>
    <col min="15" max="15" width="11.85546875" style="145" bestFit="1" customWidth="1"/>
    <col min="16" max="16" width="10.42578125" style="145" bestFit="1" customWidth="1"/>
    <col min="17" max="17" width="11.7109375" style="145" bestFit="1" customWidth="1"/>
    <col min="18" max="254" width="9.140625" style="145"/>
    <col min="255" max="255" width="5.85546875" style="145" customWidth="1"/>
    <col min="256" max="256" width="10.5703125" style="145" customWidth="1"/>
    <col min="257" max="257" width="11.140625" style="145" customWidth="1"/>
    <col min="258" max="258" width="8.7109375" style="145" customWidth="1"/>
    <col min="259" max="259" width="8" style="145" customWidth="1"/>
    <col min="260" max="260" width="10.5703125" style="145" customWidth="1"/>
    <col min="261" max="261" width="8.5703125" style="145" customWidth="1"/>
    <col min="262" max="262" width="6.7109375" style="145" customWidth="1"/>
    <col min="263" max="263" width="11.7109375" style="145" customWidth="1"/>
    <col min="264" max="264" width="11.5703125" style="145" customWidth="1"/>
    <col min="265" max="265" width="12.5703125" style="145" customWidth="1"/>
    <col min="266" max="266" width="12" style="145" customWidth="1"/>
    <col min="267" max="267" width="12.140625" style="145" customWidth="1"/>
    <col min="268" max="268" width="13" style="145" customWidth="1"/>
    <col min="269" max="269" width="11.5703125" style="145" customWidth="1"/>
    <col min="270" max="270" width="12.140625" style="145" customWidth="1"/>
    <col min="271" max="271" width="11.85546875" style="145" bestFit="1" customWidth="1"/>
    <col min="272" max="272" width="10.42578125" style="145" bestFit="1" customWidth="1"/>
    <col min="273" max="273" width="11.7109375" style="145" bestFit="1" customWidth="1"/>
    <col min="274" max="510" width="9.140625" style="145"/>
    <col min="511" max="511" width="5.85546875" style="145" customWidth="1"/>
    <col min="512" max="512" width="10.5703125" style="145" customWidth="1"/>
    <col min="513" max="513" width="11.140625" style="145" customWidth="1"/>
    <col min="514" max="514" width="8.7109375" style="145" customWidth="1"/>
    <col min="515" max="515" width="8" style="145" customWidth="1"/>
    <col min="516" max="516" width="10.5703125" style="145" customWidth="1"/>
    <col min="517" max="517" width="8.5703125" style="145" customWidth="1"/>
    <col min="518" max="518" width="6.7109375" style="145" customWidth="1"/>
    <col min="519" max="519" width="11.7109375" style="145" customWidth="1"/>
    <col min="520" max="520" width="11.5703125" style="145" customWidth="1"/>
    <col min="521" max="521" width="12.5703125" style="145" customWidth="1"/>
    <col min="522" max="522" width="12" style="145" customWidth="1"/>
    <col min="523" max="523" width="12.140625" style="145" customWidth="1"/>
    <col min="524" max="524" width="13" style="145" customWidth="1"/>
    <col min="525" max="525" width="11.5703125" style="145" customWidth="1"/>
    <col min="526" max="526" width="12.140625" style="145" customWidth="1"/>
    <col min="527" max="527" width="11.85546875" style="145" bestFit="1" customWidth="1"/>
    <col min="528" max="528" width="10.42578125" style="145" bestFit="1" customWidth="1"/>
    <col min="529" max="529" width="11.7109375" style="145" bestFit="1" customWidth="1"/>
    <col min="530" max="766" width="9.140625" style="145"/>
    <col min="767" max="767" width="5.85546875" style="145" customWidth="1"/>
    <col min="768" max="768" width="10.5703125" style="145" customWidth="1"/>
    <col min="769" max="769" width="11.140625" style="145" customWidth="1"/>
    <col min="770" max="770" width="8.7109375" style="145" customWidth="1"/>
    <col min="771" max="771" width="8" style="145" customWidth="1"/>
    <col min="772" max="772" width="10.5703125" style="145" customWidth="1"/>
    <col min="773" max="773" width="8.5703125" style="145" customWidth="1"/>
    <col min="774" max="774" width="6.7109375" style="145" customWidth="1"/>
    <col min="775" max="775" width="11.7109375" style="145" customWidth="1"/>
    <col min="776" max="776" width="11.5703125" style="145" customWidth="1"/>
    <col min="777" max="777" width="12.5703125" style="145" customWidth="1"/>
    <col min="778" max="778" width="12" style="145" customWidth="1"/>
    <col min="779" max="779" width="12.140625" style="145" customWidth="1"/>
    <col min="780" max="780" width="13" style="145" customWidth="1"/>
    <col min="781" max="781" width="11.5703125" style="145" customWidth="1"/>
    <col min="782" max="782" width="12.140625" style="145" customWidth="1"/>
    <col min="783" max="783" width="11.85546875" style="145" bestFit="1" customWidth="1"/>
    <col min="784" max="784" width="10.42578125" style="145" bestFit="1" customWidth="1"/>
    <col min="785" max="785" width="11.7109375" style="145" bestFit="1" customWidth="1"/>
    <col min="786" max="1022" width="9.140625" style="145"/>
    <col min="1023" max="1023" width="5.85546875" style="145" customWidth="1"/>
    <col min="1024" max="1024" width="10.5703125" style="145" customWidth="1"/>
    <col min="1025" max="1025" width="11.140625" style="145" customWidth="1"/>
    <col min="1026" max="1026" width="8.7109375" style="145" customWidth="1"/>
    <col min="1027" max="1027" width="8" style="145" customWidth="1"/>
    <col min="1028" max="1028" width="10.5703125" style="145" customWidth="1"/>
    <col min="1029" max="1029" width="8.5703125" style="145" customWidth="1"/>
    <col min="1030" max="1030" width="6.7109375" style="145" customWidth="1"/>
    <col min="1031" max="1031" width="11.7109375" style="145" customWidth="1"/>
    <col min="1032" max="1032" width="11.5703125" style="145" customWidth="1"/>
    <col min="1033" max="1033" width="12.5703125" style="145" customWidth="1"/>
    <col min="1034" max="1034" width="12" style="145" customWidth="1"/>
    <col min="1035" max="1035" width="12.140625" style="145" customWidth="1"/>
    <col min="1036" max="1036" width="13" style="145" customWidth="1"/>
    <col min="1037" max="1037" width="11.5703125" style="145" customWidth="1"/>
    <col min="1038" max="1038" width="12.140625" style="145" customWidth="1"/>
    <col min="1039" max="1039" width="11.85546875" style="145" bestFit="1" customWidth="1"/>
    <col min="1040" max="1040" width="10.42578125" style="145" bestFit="1" customWidth="1"/>
    <col min="1041" max="1041" width="11.7109375" style="145" bestFit="1" customWidth="1"/>
    <col min="1042" max="1278" width="9.140625" style="145"/>
    <col min="1279" max="1279" width="5.85546875" style="145" customWidth="1"/>
    <col min="1280" max="1280" width="10.5703125" style="145" customWidth="1"/>
    <col min="1281" max="1281" width="11.140625" style="145" customWidth="1"/>
    <col min="1282" max="1282" width="8.7109375" style="145" customWidth="1"/>
    <col min="1283" max="1283" width="8" style="145" customWidth="1"/>
    <col min="1284" max="1284" width="10.5703125" style="145" customWidth="1"/>
    <col min="1285" max="1285" width="8.5703125" style="145" customWidth="1"/>
    <col min="1286" max="1286" width="6.7109375" style="145" customWidth="1"/>
    <col min="1287" max="1287" width="11.7109375" style="145" customWidth="1"/>
    <col min="1288" max="1288" width="11.5703125" style="145" customWidth="1"/>
    <col min="1289" max="1289" width="12.5703125" style="145" customWidth="1"/>
    <col min="1290" max="1290" width="12" style="145" customWidth="1"/>
    <col min="1291" max="1291" width="12.140625" style="145" customWidth="1"/>
    <col min="1292" max="1292" width="13" style="145" customWidth="1"/>
    <col min="1293" max="1293" width="11.5703125" style="145" customWidth="1"/>
    <col min="1294" max="1294" width="12.140625" style="145" customWidth="1"/>
    <col min="1295" max="1295" width="11.85546875" style="145" bestFit="1" customWidth="1"/>
    <col min="1296" max="1296" width="10.42578125" style="145" bestFit="1" customWidth="1"/>
    <col min="1297" max="1297" width="11.7109375" style="145" bestFit="1" customWidth="1"/>
    <col min="1298" max="1534" width="9.140625" style="145"/>
    <col min="1535" max="1535" width="5.85546875" style="145" customWidth="1"/>
    <col min="1536" max="1536" width="10.5703125" style="145" customWidth="1"/>
    <col min="1537" max="1537" width="11.140625" style="145" customWidth="1"/>
    <col min="1538" max="1538" width="8.7109375" style="145" customWidth="1"/>
    <col min="1539" max="1539" width="8" style="145" customWidth="1"/>
    <col min="1540" max="1540" width="10.5703125" style="145" customWidth="1"/>
    <col min="1541" max="1541" width="8.5703125" style="145" customWidth="1"/>
    <col min="1542" max="1542" width="6.7109375" style="145" customWidth="1"/>
    <col min="1543" max="1543" width="11.7109375" style="145" customWidth="1"/>
    <col min="1544" max="1544" width="11.5703125" style="145" customWidth="1"/>
    <col min="1545" max="1545" width="12.5703125" style="145" customWidth="1"/>
    <col min="1546" max="1546" width="12" style="145" customWidth="1"/>
    <col min="1547" max="1547" width="12.140625" style="145" customWidth="1"/>
    <col min="1548" max="1548" width="13" style="145" customWidth="1"/>
    <col min="1549" max="1549" width="11.5703125" style="145" customWidth="1"/>
    <col min="1550" max="1550" width="12.140625" style="145" customWidth="1"/>
    <col min="1551" max="1551" width="11.85546875" style="145" bestFit="1" customWidth="1"/>
    <col min="1552" max="1552" width="10.42578125" style="145" bestFit="1" customWidth="1"/>
    <col min="1553" max="1553" width="11.7109375" style="145" bestFit="1" customWidth="1"/>
    <col min="1554" max="1790" width="9.140625" style="145"/>
    <col min="1791" max="1791" width="5.85546875" style="145" customWidth="1"/>
    <col min="1792" max="1792" width="10.5703125" style="145" customWidth="1"/>
    <col min="1793" max="1793" width="11.140625" style="145" customWidth="1"/>
    <col min="1794" max="1794" width="8.7109375" style="145" customWidth="1"/>
    <col min="1795" max="1795" width="8" style="145" customWidth="1"/>
    <col min="1796" max="1796" width="10.5703125" style="145" customWidth="1"/>
    <col min="1797" max="1797" width="8.5703125" style="145" customWidth="1"/>
    <col min="1798" max="1798" width="6.7109375" style="145" customWidth="1"/>
    <col min="1799" max="1799" width="11.7109375" style="145" customWidth="1"/>
    <col min="1800" max="1800" width="11.5703125" style="145" customWidth="1"/>
    <col min="1801" max="1801" width="12.5703125" style="145" customWidth="1"/>
    <col min="1802" max="1802" width="12" style="145" customWidth="1"/>
    <col min="1803" max="1803" width="12.140625" style="145" customWidth="1"/>
    <col min="1804" max="1804" width="13" style="145" customWidth="1"/>
    <col min="1805" max="1805" width="11.5703125" style="145" customWidth="1"/>
    <col min="1806" max="1806" width="12.140625" style="145" customWidth="1"/>
    <col min="1807" max="1807" width="11.85546875" style="145" bestFit="1" customWidth="1"/>
    <col min="1808" max="1808" width="10.42578125" style="145" bestFit="1" customWidth="1"/>
    <col min="1809" max="1809" width="11.7109375" style="145" bestFit="1" customWidth="1"/>
    <col min="1810" max="2046" width="9.140625" style="145"/>
    <col min="2047" max="2047" width="5.85546875" style="145" customWidth="1"/>
    <col min="2048" max="2048" width="10.5703125" style="145" customWidth="1"/>
    <col min="2049" max="2049" width="11.140625" style="145" customWidth="1"/>
    <col min="2050" max="2050" width="8.7109375" style="145" customWidth="1"/>
    <col min="2051" max="2051" width="8" style="145" customWidth="1"/>
    <col min="2052" max="2052" width="10.5703125" style="145" customWidth="1"/>
    <col min="2053" max="2053" width="8.5703125" style="145" customWidth="1"/>
    <col min="2054" max="2054" width="6.7109375" style="145" customWidth="1"/>
    <col min="2055" max="2055" width="11.7109375" style="145" customWidth="1"/>
    <col min="2056" max="2056" width="11.5703125" style="145" customWidth="1"/>
    <col min="2057" max="2057" width="12.5703125" style="145" customWidth="1"/>
    <col min="2058" max="2058" width="12" style="145" customWidth="1"/>
    <col min="2059" max="2059" width="12.140625" style="145" customWidth="1"/>
    <col min="2060" max="2060" width="13" style="145" customWidth="1"/>
    <col min="2061" max="2061" width="11.5703125" style="145" customWidth="1"/>
    <col min="2062" max="2062" width="12.140625" style="145" customWidth="1"/>
    <col min="2063" max="2063" width="11.85546875" style="145" bestFit="1" customWidth="1"/>
    <col min="2064" max="2064" width="10.42578125" style="145" bestFit="1" customWidth="1"/>
    <col min="2065" max="2065" width="11.7109375" style="145" bestFit="1" customWidth="1"/>
    <col min="2066" max="2302" width="9.140625" style="145"/>
    <col min="2303" max="2303" width="5.85546875" style="145" customWidth="1"/>
    <col min="2304" max="2304" width="10.5703125" style="145" customWidth="1"/>
    <col min="2305" max="2305" width="11.140625" style="145" customWidth="1"/>
    <col min="2306" max="2306" width="8.7109375" style="145" customWidth="1"/>
    <col min="2307" max="2307" width="8" style="145" customWidth="1"/>
    <col min="2308" max="2308" width="10.5703125" style="145" customWidth="1"/>
    <col min="2309" max="2309" width="8.5703125" style="145" customWidth="1"/>
    <col min="2310" max="2310" width="6.7109375" style="145" customWidth="1"/>
    <col min="2311" max="2311" width="11.7109375" style="145" customWidth="1"/>
    <col min="2312" max="2312" width="11.5703125" style="145" customWidth="1"/>
    <col min="2313" max="2313" width="12.5703125" style="145" customWidth="1"/>
    <col min="2314" max="2314" width="12" style="145" customWidth="1"/>
    <col min="2315" max="2315" width="12.140625" style="145" customWidth="1"/>
    <col min="2316" max="2316" width="13" style="145" customWidth="1"/>
    <col min="2317" max="2317" width="11.5703125" style="145" customWidth="1"/>
    <col min="2318" max="2318" width="12.140625" style="145" customWidth="1"/>
    <col min="2319" max="2319" width="11.85546875" style="145" bestFit="1" customWidth="1"/>
    <col min="2320" max="2320" width="10.42578125" style="145" bestFit="1" customWidth="1"/>
    <col min="2321" max="2321" width="11.7109375" style="145" bestFit="1" customWidth="1"/>
    <col min="2322" max="2558" width="9.140625" style="145"/>
    <col min="2559" max="2559" width="5.85546875" style="145" customWidth="1"/>
    <col min="2560" max="2560" width="10.5703125" style="145" customWidth="1"/>
    <col min="2561" max="2561" width="11.140625" style="145" customWidth="1"/>
    <col min="2562" max="2562" width="8.7109375" style="145" customWidth="1"/>
    <col min="2563" max="2563" width="8" style="145" customWidth="1"/>
    <col min="2564" max="2564" width="10.5703125" style="145" customWidth="1"/>
    <col min="2565" max="2565" width="8.5703125" style="145" customWidth="1"/>
    <col min="2566" max="2566" width="6.7109375" style="145" customWidth="1"/>
    <col min="2567" max="2567" width="11.7109375" style="145" customWidth="1"/>
    <col min="2568" max="2568" width="11.5703125" style="145" customWidth="1"/>
    <col min="2569" max="2569" width="12.5703125" style="145" customWidth="1"/>
    <col min="2570" max="2570" width="12" style="145" customWidth="1"/>
    <col min="2571" max="2571" width="12.140625" style="145" customWidth="1"/>
    <col min="2572" max="2572" width="13" style="145" customWidth="1"/>
    <col min="2573" max="2573" width="11.5703125" style="145" customWidth="1"/>
    <col min="2574" max="2574" width="12.140625" style="145" customWidth="1"/>
    <col min="2575" max="2575" width="11.85546875" style="145" bestFit="1" customWidth="1"/>
    <col min="2576" max="2576" width="10.42578125" style="145" bestFit="1" customWidth="1"/>
    <col min="2577" max="2577" width="11.7109375" style="145" bestFit="1" customWidth="1"/>
    <col min="2578" max="2814" width="9.140625" style="145"/>
    <col min="2815" max="2815" width="5.85546875" style="145" customWidth="1"/>
    <col min="2816" max="2816" width="10.5703125" style="145" customWidth="1"/>
    <col min="2817" max="2817" width="11.140625" style="145" customWidth="1"/>
    <col min="2818" max="2818" width="8.7109375" style="145" customWidth="1"/>
    <col min="2819" max="2819" width="8" style="145" customWidth="1"/>
    <col min="2820" max="2820" width="10.5703125" style="145" customWidth="1"/>
    <col min="2821" max="2821" width="8.5703125" style="145" customWidth="1"/>
    <col min="2822" max="2822" width="6.7109375" style="145" customWidth="1"/>
    <col min="2823" max="2823" width="11.7109375" style="145" customWidth="1"/>
    <col min="2824" max="2824" width="11.5703125" style="145" customWidth="1"/>
    <col min="2825" max="2825" width="12.5703125" style="145" customWidth="1"/>
    <col min="2826" max="2826" width="12" style="145" customWidth="1"/>
    <col min="2827" max="2827" width="12.140625" style="145" customWidth="1"/>
    <col min="2828" max="2828" width="13" style="145" customWidth="1"/>
    <col min="2829" max="2829" width="11.5703125" style="145" customWidth="1"/>
    <col min="2830" max="2830" width="12.140625" style="145" customWidth="1"/>
    <col min="2831" max="2831" width="11.85546875" style="145" bestFit="1" customWidth="1"/>
    <col min="2832" max="2832" width="10.42578125" style="145" bestFit="1" customWidth="1"/>
    <col min="2833" max="2833" width="11.7109375" style="145" bestFit="1" customWidth="1"/>
    <col min="2834" max="3070" width="9.140625" style="145"/>
    <col min="3071" max="3071" width="5.85546875" style="145" customWidth="1"/>
    <col min="3072" max="3072" width="10.5703125" style="145" customWidth="1"/>
    <col min="3073" max="3073" width="11.140625" style="145" customWidth="1"/>
    <col min="3074" max="3074" width="8.7109375" style="145" customWidth="1"/>
    <col min="3075" max="3075" width="8" style="145" customWidth="1"/>
    <col min="3076" max="3076" width="10.5703125" style="145" customWidth="1"/>
    <col min="3077" max="3077" width="8.5703125" style="145" customWidth="1"/>
    <col min="3078" max="3078" width="6.7109375" style="145" customWidth="1"/>
    <col min="3079" max="3079" width="11.7109375" style="145" customWidth="1"/>
    <col min="3080" max="3080" width="11.5703125" style="145" customWidth="1"/>
    <col min="3081" max="3081" width="12.5703125" style="145" customWidth="1"/>
    <col min="3082" max="3082" width="12" style="145" customWidth="1"/>
    <col min="3083" max="3083" width="12.140625" style="145" customWidth="1"/>
    <col min="3084" max="3084" width="13" style="145" customWidth="1"/>
    <col min="3085" max="3085" width="11.5703125" style="145" customWidth="1"/>
    <col min="3086" max="3086" width="12.140625" style="145" customWidth="1"/>
    <col min="3087" max="3087" width="11.85546875" style="145" bestFit="1" customWidth="1"/>
    <col min="3088" max="3088" width="10.42578125" style="145" bestFit="1" customWidth="1"/>
    <col min="3089" max="3089" width="11.7109375" style="145" bestFit="1" customWidth="1"/>
    <col min="3090" max="3326" width="9.140625" style="145"/>
    <col min="3327" max="3327" width="5.85546875" style="145" customWidth="1"/>
    <col min="3328" max="3328" width="10.5703125" style="145" customWidth="1"/>
    <col min="3329" max="3329" width="11.140625" style="145" customWidth="1"/>
    <col min="3330" max="3330" width="8.7109375" style="145" customWidth="1"/>
    <col min="3331" max="3331" width="8" style="145" customWidth="1"/>
    <col min="3332" max="3332" width="10.5703125" style="145" customWidth="1"/>
    <col min="3333" max="3333" width="8.5703125" style="145" customWidth="1"/>
    <col min="3334" max="3334" width="6.7109375" style="145" customWidth="1"/>
    <col min="3335" max="3335" width="11.7109375" style="145" customWidth="1"/>
    <col min="3336" max="3336" width="11.5703125" style="145" customWidth="1"/>
    <col min="3337" max="3337" width="12.5703125" style="145" customWidth="1"/>
    <col min="3338" max="3338" width="12" style="145" customWidth="1"/>
    <col min="3339" max="3339" width="12.140625" style="145" customWidth="1"/>
    <col min="3340" max="3340" width="13" style="145" customWidth="1"/>
    <col min="3341" max="3341" width="11.5703125" style="145" customWidth="1"/>
    <col min="3342" max="3342" width="12.140625" style="145" customWidth="1"/>
    <col min="3343" max="3343" width="11.85546875" style="145" bestFit="1" customWidth="1"/>
    <col min="3344" max="3344" width="10.42578125" style="145" bestFit="1" customWidth="1"/>
    <col min="3345" max="3345" width="11.7109375" style="145" bestFit="1" customWidth="1"/>
    <col min="3346" max="3582" width="9.140625" style="145"/>
    <col min="3583" max="3583" width="5.85546875" style="145" customWidth="1"/>
    <col min="3584" max="3584" width="10.5703125" style="145" customWidth="1"/>
    <col min="3585" max="3585" width="11.140625" style="145" customWidth="1"/>
    <col min="3586" max="3586" width="8.7109375" style="145" customWidth="1"/>
    <col min="3587" max="3587" width="8" style="145" customWidth="1"/>
    <col min="3588" max="3588" width="10.5703125" style="145" customWidth="1"/>
    <col min="3589" max="3589" width="8.5703125" style="145" customWidth="1"/>
    <col min="3590" max="3590" width="6.7109375" style="145" customWidth="1"/>
    <col min="3591" max="3591" width="11.7109375" style="145" customWidth="1"/>
    <col min="3592" max="3592" width="11.5703125" style="145" customWidth="1"/>
    <col min="3593" max="3593" width="12.5703125" style="145" customWidth="1"/>
    <col min="3594" max="3594" width="12" style="145" customWidth="1"/>
    <col min="3595" max="3595" width="12.140625" style="145" customWidth="1"/>
    <col min="3596" max="3596" width="13" style="145" customWidth="1"/>
    <col min="3597" max="3597" width="11.5703125" style="145" customWidth="1"/>
    <col min="3598" max="3598" width="12.140625" style="145" customWidth="1"/>
    <col min="3599" max="3599" width="11.85546875" style="145" bestFit="1" customWidth="1"/>
    <col min="3600" max="3600" width="10.42578125" style="145" bestFit="1" customWidth="1"/>
    <col min="3601" max="3601" width="11.7109375" style="145" bestFit="1" customWidth="1"/>
    <col min="3602" max="3838" width="9.140625" style="145"/>
    <col min="3839" max="3839" width="5.85546875" style="145" customWidth="1"/>
    <col min="3840" max="3840" width="10.5703125" style="145" customWidth="1"/>
    <col min="3841" max="3841" width="11.140625" style="145" customWidth="1"/>
    <col min="3842" max="3842" width="8.7109375" style="145" customWidth="1"/>
    <col min="3843" max="3843" width="8" style="145" customWidth="1"/>
    <col min="3844" max="3844" width="10.5703125" style="145" customWidth="1"/>
    <col min="3845" max="3845" width="8.5703125" style="145" customWidth="1"/>
    <col min="3846" max="3846" width="6.7109375" style="145" customWidth="1"/>
    <col min="3847" max="3847" width="11.7109375" style="145" customWidth="1"/>
    <col min="3848" max="3848" width="11.5703125" style="145" customWidth="1"/>
    <col min="3849" max="3849" width="12.5703125" style="145" customWidth="1"/>
    <col min="3850" max="3850" width="12" style="145" customWidth="1"/>
    <col min="3851" max="3851" width="12.140625" style="145" customWidth="1"/>
    <col min="3852" max="3852" width="13" style="145" customWidth="1"/>
    <col min="3853" max="3853" width="11.5703125" style="145" customWidth="1"/>
    <col min="3854" max="3854" width="12.140625" style="145" customWidth="1"/>
    <col min="3855" max="3855" width="11.85546875" style="145" bestFit="1" customWidth="1"/>
    <col min="3856" max="3856" width="10.42578125" style="145" bestFit="1" customWidth="1"/>
    <col min="3857" max="3857" width="11.7109375" style="145" bestFit="1" customWidth="1"/>
    <col min="3858" max="4094" width="9.140625" style="145"/>
    <col min="4095" max="4095" width="5.85546875" style="145" customWidth="1"/>
    <col min="4096" max="4096" width="10.5703125" style="145" customWidth="1"/>
    <col min="4097" max="4097" width="11.140625" style="145" customWidth="1"/>
    <col min="4098" max="4098" width="8.7109375" style="145" customWidth="1"/>
    <col min="4099" max="4099" width="8" style="145" customWidth="1"/>
    <col min="4100" max="4100" width="10.5703125" style="145" customWidth="1"/>
    <col min="4101" max="4101" width="8.5703125" style="145" customWidth="1"/>
    <col min="4102" max="4102" width="6.7109375" style="145" customWidth="1"/>
    <col min="4103" max="4103" width="11.7109375" style="145" customWidth="1"/>
    <col min="4104" max="4104" width="11.5703125" style="145" customWidth="1"/>
    <col min="4105" max="4105" width="12.5703125" style="145" customWidth="1"/>
    <col min="4106" max="4106" width="12" style="145" customWidth="1"/>
    <col min="4107" max="4107" width="12.140625" style="145" customWidth="1"/>
    <col min="4108" max="4108" width="13" style="145" customWidth="1"/>
    <col min="4109" max="4109" width="11.5703125" style="145" customWidth="1"/>
    <col min="4110" max="4110" width="12.140625" style="145" customWidth="1"/>
    <col min="4111" max="4111" width="11.85546875" style="145" bestFit="1" customWidth="1"/>
    <col min="4112" max="4112" width="10.42578125" style="145" bestFit="1" customWidth="1"/>
    <col min="4113" max="4113" width="11.7109375" style="145" bestFit="1" customWidth="1"/>
    <col min="4114" max="4350" width="9.140625" style="145"/>
    <col min="4351" max="4351" width="5.85546875" style="145" customWidth="1"/>
    <col min="4352" max="4352" width="10.5703125" style="145" customWidth="1"/>
    <col min="4353" max="4353" width="11.140625" style="145" customWidth="1"/>
    <col min="4354" max="4354" width="8.7109375" style="145" customWidth="1"/>
    <col min="4355" max="4355" width="8" style="145" customWidth="1"/>
    <col min="4356" max="4356" width="10.5703125" style="145" customWidth="1"/>
    <col min="4357" max="4357" width="8.5703125" style="145" customWidth="1"/>
    <col min="4358" max="4358" width="6.7109375" style="145" customWidth="1"/>
    <col min="4359" max="4359" width="11.7109375" style="145" customWidth="1"/>
    <col min="4360" max="4360" width="11.5703125" style="145" customWidth="1"/>
    <col min="4361" max="4361" width="12.5703125" style="145" customWidth="1"/>
    <col min="4362" max="4362" width="12" style="145" customWidth="1"/>
    <col min="4363" max="4363" width="12.140625" style="145" customWidth="1"/>
    <col min="4364" max="4364" width="13" style="145" customWidth="1"/>
    <col min="4365" max="4365" width="11.5703125" style="145" customWidth="1"/>
    <col min="4366" max="4366" width="12.140625" style="145" customWidth="1"/>
    <col min="4367" max="4367" width="11.85546875" style="145" bestFit="1" customWidth="1"/>
    <col min="4368" max="4368" width="10.42578125" style="145" bestFit="1" customWidth="1"/>
    <col min="4369" max="4369" width="11.7109375" style="145" bestFit="1" customWidth="1"/>
    <col min="4370" max="4606" width="9.140625" style="145"/>
    <col min="4607" max="4607" width="5.85546875" style="145" customWidth="1"/>
    <col min="4608" max="4608" width="10.5703125" style="145" customWidth="1"/>
    <col min="4609" max="4609" width="11.140625" style="145" customWidth="1"/>
    <col min="4610" max="4610" width="8.7109375" style="145" customWidth="1"/>
    <col min="4611" max="4611" width="8" style="145" customWidth="1"/>
    <col min="4612" max="4612" width="10.5703125" style="145" customWidth="1"/>
    <col min="4613" max="4613" width="8.5703125" style="145" customWidth="1"/>
    <col min="4614" max="4614" width="6.7109375" style="145" customWidth="1"/>
    <col min="4615" max="4615" width="11.7109375" style="145" customWidth="1"/>
    <col min="4616" max="4616" width="11.5703125" style="145" customWidth="1"/>
    <col min="4617" max="4617" width="12.5703125" style="145" customWidth="1"/>
    <col min="4618" max="4618" width="12" style="145" customWidth="1"/>
    <col min="4619" max="4619" width="12.140625" style="145" customWidth="1"/>
    <col min="4620" max="4620" width="13" style="145" customWidth="1"/>
    <col min="4621" max="4621" width="11.5703125" style="145" customWidth="1"/>
    <col min="4622" max="4622" width="12.140625" style="145" customWidth="1"/>
    <col min="4623" max="4623" width="11.85546875" style="145" bestFit="1" customWidth="1"/>
    <col min="4624" max="4624" width="10.42578125" style="145" bestFit="1" customWidth="1"/>
    <col min="4625" max="4625" width="11.7109375" style="145" bestFit="1" customWidth="1"/>
    <col min="4626" max="4862" width="9.140625" style="145"/>
    <col min="4863" max="4863" width="5.85546875" style="145" customWidth="1"/>
    <col min="4864" max="4864" width="10.5703125" style="145" customWidth="1"/>
    <col min="4865" max="4865" width="11.140625" style="145" customWidth="1"/>
    <col min="4866" max="4866" width="8.7109375" style="145" customWidth="1"/>
    <col min="4867" max="4867" width="8" style="145" customWidth="1"/>
    <col min="4868" max="4868" width="10.5703125" style="145" customWidth="1"/>
    <col min="4869" max="4869" width="8.5703125" style="145" customWidth="1"/>
    <col min="4870" max="4870" width="6.7109375" style="145" customWidth="1"/>
    <col min="4871" max="4871" width="11.7109375" style="145" customWidth="1"/>
    <col min="4872" max="4872" width="11.5703125" style="145" customWidth="1"/>
    <col min="4873" max="4873" width="12.5703125" style="145" customWidth="1"/>
    <col min="4874" max="4874" width="12" style="145" customWidth="1"/>
    <col min="4875" max="4875" width="12.140625" style="145" customWidth="1"/>
    <col min="4876" max="4876" width="13" style="145" customWidth="1"/>
    <col min="4877" max="4877" width="11.5703125" style="145" customWidth="1"/>
    <col min="4878" max="4878" width="12.140625" style="145" customWidth="1"/>
    <col min="4879" max="4879" width="11.85546875" style="145" bestFit="1" customWidth="1"/>
    <col min="4880" max="4880" width="10.42578125" style="145" bestFit="1" customWidth="1"/>
    <col min="4881" max="4881" width="11.7109375" style="145" bestFit="1" customWidth="1"/>
    <col min="4882" max="5118" width="9.140625" style="145"/>
    <col min="5119" max="5119" width="5.85546875" style="145" customWidth="1"/>
    <col min="5120" max="5120" width="10.5703125" style="145" customWidth="1"/>
    <col min="5121" max="5121" width="11.140625" style="145" customWidth="1"/>
    <col min="5122" max="5122" width="8.7109375" style="145" customWidth="1"/>
    <col min="5123" max="5123" width="8" style="145" customWidth="1"/>
    <col min="5124" max="5124" width="10.5703125" style="145" customWidth="1"/>
    <col min="5125" max="5125" width="8.5703125" style="145" customWidth="1"/>
    <col min="5126" max="5126" width="6.7109375" style="145" customWidth="1"/>
    <col min="5127" max="5127" width="11.7109375" style="145" customWidth="1"/>
    <col min="5128" max="5128" width="11.5703125" style="145" customWidth="1"/>
    <col min="5129" max="5129" width="12.5703125" style="145" customWidth="1"/>
    <col min="5130" max="5130" width="12" style="145" customWidth="1"/>
    <col min="5131" max="5131" width="12.140625" style="145" customWidth="1"/>
    <col min="5132" max="5132" width="13" style="145" customWidth="1"/>
    <col min="5133" max="5133" width="11.5703125" style="145" customWidth="1"/>
    <col min="5134" max="5134" width="12.140625" style="145" customWidth="1"/>
    <col min="5135" max="5135" width="11.85546875" style="145" bestFit="1" customWidth="1"/>
    <col min="5136" max="5136" width="10.42578125" style="145" bestFit="1" customWidth="1"/>
    <col min="5137" max="5137" width="11.7109375" style="145" bestFit="1" customWidth="1"/>
    <col min="5138" max="5374" width="9.140625" style="145"/>
    <col min="5375" max="5375" width="5.85546875" style="145" customWidth="1"/>
    <col min="5376" max="5376" width="10.5703125" style="145" customWidth="1"/>
    <col min="5377" max="5377" width="11.140625" style="145" customWidth="1"/>
    <col min="5378" max="5378" width="8.7109375" style="145" customWidth="1"/>
    <col min="5379" max="5379" width="8" style="145" customWidth="1"/>
    <col min="5380" max="5380" width="10.5703125" style="145" customWidth="1"/>
    <col min="5381" max="5381" width="8.5703125" style="145" customWidth="1"/>
    <col min="5382" max="5382" width="6.7109375" style="145" customWidth="1"/>
    <col min="5383" max="5383" width="11.7109375" style="145" customWidth="1"/>
    <col min="5384" max="5384" width="11.5703125" style="145" customWidth="1"/>
    <col min="5385" max="5385" width="12.5703125" style="145" customWidth="1"/>
    <col min="5386" max="5386" width="12" style="145" customWidth="1"/>
    <col min="5387" max="5387" width="12.140625" style="145" customWidth="1"/>
    <col min="5388" max="5388" width="13" style="145" customWidth="1"/>
    <col min="5389" max="5389" width="11.5703125" style="145" customWidth="1"/>
    <col min="5390" max="5390" width="12.140625" style="145" customWidth="1"/>
    <col min="5391" max="5391" width="11.85546875" style="145" bestFit="1" customWidth="1"/>
    <col min="5392" max="5392" width="10.42578125" style="145" bestFit="1" customWidth="1"/>
    <col min="5393" max="5393" width="11.7109375" style="145" bestFit="1" customWidth="1"/>
    <col min="5394" max="5630" width="9.140625" style="145"/>
    <col min="5631" max="5631" width="5.85546875" style="145" customWidth="1"/>
    <col min="5632" max="5632" width="10.5703125" style="145" customWidth="1"/>
    <col min="5633" max="5633" width="11.140625" style="145" customWidth="1"/>
    <col min="5634" max="5634" width="8.7109375" style="145" customWidth="1"/>
    <col min="5635" max="5635" width="8" style="145" customWidth="1"/>
    <col min="5636" max="5636" width="10.5703125" style="145" customWidth="1"/>
    <col min="5637" max="5637" width="8.5703125" style="145" customWidth="1"/>
    <col min="5638" max="5638" width="6.7109375" style="145" customWidth="1"/>
    <col min="5639" max="5639" width="11.7109375" style="145" customWidth="1"/>
    <col min="5640" max="5640" width="11.5703125" style="145" customWidth="1"/>
    <col min="5641" max="5641" width="12.5703125" style="145" customWidth="1"/>
    <col min="5642" max="5642" width="12" style="145" customWidth="1"/>
    <col min="5643" max="5643" width="12.140625" style="145" customWidth="1"/>
    <col min="5644" max="5644" width="13" style="145" customWidth="1"/>
    <col min="5645" max="5645" width="11.5703125" style="145" customWidth="1"/>
    <col min="5646" max="5646" width="12.140625" style="145" customWidth="1"/>
    <col min="5647" max="5647" width="11.85546875" style="145" bestFit="1" customWidth="1"/>
    <col min="5648" max="5648" width="10.42578125" style="145" bestFit="1" customWidth="1"/>
    <col min="5649" max="5649" width="11.7109375" style="145" bestFit="1" customWidth="1"/>
    <col min="5650" max="5886" width="9.140625" style="145"/>
    <col min="5887" max="5887" width="5.85546875" style="145" customWidth="1"/>
    <col min="5888" max="5888" width="10.5703125" style="145" customWidth="1"/>
    <col min="5889" max="5889" width="11.140625" style="145" customWidth="1"/>
    <col min="5890" max="5890" width="8.7109375" style="145" customWidth="1"/>
    <col min="5891" max="5891" width="8" style="145" customWidth="1"/>
    <col min="5892" max="5892" width="10.5703125" style="145" customWidth="1"/>
    <col min="5893" max="5893" width="8.5703125" style="145" customWidth="1"/>
    <col min="5894" max="5894" width="6.7109375" style="145" customWidth="1"/>
    <col min="5895" max="5895" width="11.7109375" style="145" customWidth="1"/>
    <col min="5896" max="5896" width="11.5703125" style="145" customWidth="1"/>
    <col min="5897" max="5897" width="12.5703125" style="145" customWidth="1"/>
    <col min="5898" max="5898" width="12" style="145" customWidth="1"/>
    <col min="5899" max="5899" width="12.140625" style="145" customWidth="1"/>
    <col min="5900" max="5900" width="13" style="145" customWidth="1"/>
    <col min="5901" max="5901" width="11.5703125" style="145" customWidth="1"/>
    <col min="5902" max="5902" width="12.140625" style="145" customWidth="1"/>
    <col min="5903" max="5903" width="11.85546875" style="145" bestFit="1" customWidth="1"/>
    <col min="5904" max="5904" width="10.42578125" style="145" bestFit="1" customWidth="1"/>
    <col min="5905" max="5905" width="11.7109375" style="145" bestFit="1" customWidth="1"/>
    <col min="5906" max="6142" width="9.140625" style="145"/>
    <col min="6143" max="6143" width="5.85546875" style="145" customWidth="1"/>
    <col min="6144" max="6144" width="10.5703125" style="145" customWidth="1"/>
    <col min="6145" max="6145" width="11.140625" style="145" customWidth="1"/>
    <col min="6146" max="6146" width="8.7109375" style="145" customWidth="1"/>
    <col min="6147" max="6147" width="8" style="145" customWidth="1"/>
    <col min="6148" max="6148" width="10.5703125" style="145" customWidth="1"/>
    <col min="6149" max="6149" width="8.5703125" style="145" customWidth="1"/>
    <col min="6150" max="6150" width="6.7109375" style="145" customWidth="1"/>
    <col min="6151" max="6151" width="11.7109375" style="145" customWidth="1"/>
    <col min="6152" max="6152" width="11.5703125" style="145" customWidth="1"/>
    <col min="6153" max="6153" width="12.5703125" style="145" customWidth="1"/>
    <col min="6154" max="6154" width="12" style="145" customWidth="1"/>
    <col min="6155" max="6155" width="12.140625" style="145" customWidth="1"/>
    <col min="6156" max="6156" width="13" style="145" customWidth="1"/>
    <col min="6157" max="6157" width="11.5703125" style="145" customWidth="1"/>
    <col min="6158" max="6158" width="12.140625" style="145" customWidth="1"/>
    <col min="6159" max="6159" width="11.85546875" style="145" bestFit="1" customWidth="1"/>
    <col min="6160" max="6160" width="10.42578125" style="145" bestFit="1" customWidth="1"/>
    <col min="6161" max="6161" width="11.7109375" style="145" bestFit="1" customWidth="1"/>
    <col min="6162" max="6398" width="9.140625" style="145"/>
    <col min="6399" max="6399" width="5.85546875" style="145" customWidth="1"/>
    <col min="6400" max="6400" width="10.5703125" style="145" customWidth="1"/>
    <col min="6401" max="6401" width="11.140625" style="145" customWidth="1"/>
    <col min="6402" max="6402" width="8.7109375" style="145" customWidth="1"/>
    <col min="6403" max="6403" width="8" style="145" customWidth="1"/>
    <col min="6404" max="6404" width="10.5703125" style="145" customWidth="1"/>
    <col min="6405" max="6405" width="8.5703125" style="145" customWidth="1"/>
    <col min="6406" max="6406" width="6.7109375" style="145" customWidth="1"/>
    <col min="6407" max="6407" width="11.7109375" style="145" customWidth="1"/>
    <col min="6408" max="6408" width="11.5703125" style="145" customWidth="1"/>
    <col min="6409" max="6409" width="12.5703125" style="145" customWidth="1"/>
    <col min="6410" max="6410" width="12" style="145" customWidth="1"/>
    <col min="6411" max="6411" width="12.140625" style="145" customWidth="1"/>
    <col min="6412" max="6412" width="13" style="145" customWidth="1"/>
    <col min="6413" max="6413" width="11.5703125" style="145" customWidth="1"/>
    <col min="6414" max="6414" width="12.140625" style="145" customWidth="1"/>
    <col min="6415" max="6415" width="11.85546875" style="145" bestFit="1" customWidth="1"/>
    <col min="6416" max="6416" width="10.42578125" style="145" bestFit="1" customWidth="1"/>
    <col min="6417" max="6417" width="11.7109375" style="145" bestFit="1" customWidth="1"/>
    <col min="6418" max="6654" width="9.140625" style="145"/>
    <col min="6655" max="6655" width="5.85546875" style="145" customWidth="1"/>
    <col min="6656" max="6656" width="10.5703125" style="145" customWidth="1"/>
    <col min="6657" max="6657" width="11.140625" style="145" customWidth="1"/>
    <col min="6658" max="6658" width="8.7109375" style="145" customWidth="1"/>
    <col min="6659" max="6659" width="8" style="145" customWidth="1"/>
    <col min="6660" max="6660" width="10.5703125" style="145" customWidth="1"/>
    <col min="6661" max="6661" width="8.5703125" style="145" customWidth="1"/>
    <col min="6662" max="6662" width="6.7109375" style="145" customWidth="1"/>
    <col min="6663" max="6663" width="11.7109375" style="145" customWidth="1"/>
    <col min="6664" max="6664" width="11.5703125" style="145" customWidth="1"/>
    <col min="6665" max="6665" width="12.5703125" style="145" customWidth="1"/>
    <col min="6666" max="6666" width="12" style="145" customWidth="1"/>
    <col min="6667" max="6667" width="12.140625" style="145" customWidth="1"/>
    <col min="6668" max="6668" width="13" style="145" customWidth="1"/>
    <col min="6669" max="6669" width="11.5703125" style="145" customWidth="1"/>
    <col min="6670" max="6670" width="12.140625" style="145" customWidth="1"/>
    <col min="6671" max="6671" width="11.85546875" style="145" bestFit="1" customWidth="1"/>
    <col min="6672" max="6672" width="10.42578125" style="145" bestFit="1" customWidth="1"/>
    <col min="6673" max="6673" width="11.7109375" style="145" bestFit="1" customWidth="1"/>
    <col min="6674" max="6910" width="9.140625" style="145"/>
    <col min="6911" max="6911" width="5.85546875" style="145" customWidth="1"/>
    <col min="6912" max="6912" width="10.5703125" style="145" customWidth="1"/>
    <col min="6913" max="6913" width="11.140625" style="145" customWidth="1"/>
    <col min="6914" max="6914" width="8.7109375" style="145" customWidth="1"/>
    <col min="6915" max="6915" width="8" style="145" customWidth="1"/>
    <col min="6916" max="6916" width="10.5703125" style="145" customWidth="1"/>
    <col min="6917" max="6917" width="8.5703125" style="145" customWidth="1"/>
    <col min="6918" max="6918" width="6.7109375" style="145" customWidth="1"/>
    <col min="6919" max="6919" width="11.7109375" style="145" customWidth="1"/>
    <col min="6920" max="6920" width="11.5703125" style="145" customWidth="1"/>
    <col min="6921" max="6921" width="12.5703125" style="145" customWidth="1"/>
    <col min="6922" max="6922" width="12" style="145" customWidth="1"/>
    <col min="6923" max="6923" width="12.140625" style="145" customWidth="1"/>
    <col min="6924" max="6924" width="13" style="145" customWidth="1"/>
    <col min="6925" max="6925" width="11.5703125" style="145" customWidth="1"/>
    <col min="6926" max="6926" width="12.140625" style="145" customWidth="1"/>
    <col min="6927" max="6927" width="11.85546875" style="145" bestFit="1" customWidth="1"/>
    <col min="6928" max="6928" width="10.42578125" style="145" bestFit="1" customWidth="1"/>
    <col min="6929" max="6929" width="11.7109375" style="145" bestFit="1" customWidth="1"/>
    <col min="6930" max="7166" width="9.140625" style="145"/>
    <col min="7167" max="7167" width="5.85546875" style="145" customWidth="1"/>
    <col min="7168" max="7168" width="10.5703125" style="145" customWidth="1"/>
    <col min="7169" max="7169" width="11.140625" style="145" customWidth="1"/>
    <col min="7170" max="7170" width="8.7109375" style="145" customWidth="1"/>
    <col min="7171" max="7171" width="8" style="145" customWidth="1"/>
    <col min="7172" max="7172" width="10.5703125" style="145" customWidth="1"/>
    <col min="7173" max="7173" width="8.5703125" style="145" customWidth="1"/>
    <col min="7174" max="7174" width="6.7109375" style="145" customWidth="1"/>
    <col min="7175" max="7175" width="11.7109375" style="145" customWidth="1"/>
    <col min="7176" max="7176" width="11.5703125" style="145" customWidth="1"/>
    <col min="7177" max="7177" width="12.5703125" style="145" customWidth="1"/>
    <col min="7178" max="7178" width="12" style="145" customWidth="1"/>
    <col min="7179" max="7179" width="12.140625" style="145" customWidth="1"/>
    <col min="7180" max="7180" width="13" style="145" customWidth="1"/>
    <col min="7181" max="7181" width="11.5703125" style="145" customWidth="1"/>
    <col min="7182" max="7182" width="12.140625" style="145" customWidth="1"/>
    <col min="7183" max="7183" width="11.85546875" style="145" bestFit="1" customWidth="1"/>
    <col min="7184" max="7184" width="10.42578125" style="145" bestFit="1" customWidth="1"/>
    <col min="7185" max="7185" width="11.7109375" style="145" bestFit="1" customWidth="1"/>
    <col min="7186" max="7422" width="9.140625" style="145"/>
    <col min="7423" max="7423" width="5.85546875" style="145" customWidth="1"/>
    <col min="7424" max="7424" width="10.5703125" style="145" customWidth="1"/>
    <col min="7425" max="7425" width="11.140625" style="145" customWidth="1"/>
    <col min="7426" max="7426" width="8.7109375" style="145" customWidth="1"/>
    <col min="7427" max="7427" width="8" style="145" customWidth="1"/>
    <col min="7428" max="7428" width="10.5703125" style="145" customWidth="1"/>
    <col min="7429" max="7429" width="8.5703125" style="145" customWidth="1"/>
    <col min="7430" max="7430" width="6.7109375" style="145" customWidth="1"/>
    <col min="7431" max="7431" width="11.7109375" style="145" customWidth="1"/>
    <col min="7432" max="7432" width="11.5703125" style="145" customWidth="1"/>
    <col min="7433" max="7433" width="12.5703125" style="145" customWidth="1"/>
    <col min="7434" max="7434" width="12" style="145" customWidth="1"/>
    <col min="7435" max="7435" width="12.140625" style="145" customWidth="1"/>
    <col min="7436" max="7436" width="13" style="145" customWidth="1"/>
    <col min="7437" max="7437" width="11.5703125" style="145" customWidth="1"/>
    <col min="7438" max="7438" width="12.140625" style="145" customWidth="1"/>
    <col min="7439" max="7439" width="11.85546875" style="145" bestFit="1" customWidth="1"/>
    <col min="7440" max="7440" width="10.42578125" style="145" bestFit="1" customWidth="1"/>
    <col min="7441" max="7441" width="11.7109375" style="145" bestFit="1" customWidth="1"/>
    <col min="7442" max="7678" width="9.140625" style="145"/>
    <col min="7679" max="7679" width="5.85546875" style="145" customWidth="1"/>
    <col min="7680" max="7680" width="10.5703125" style="145" customWidth="1"/>
    <col min="7681" max="7681" width="11.140625" style="145" customWidth="1"/>
    <col min="7682" max="7682" width="8.7109375" style="145" customWidth="1"/>
    <col min="7683" max="7683" width="8" style="145" customWidth="1"/>
    <col min="7684" max="7684" width="10.5703125" style="145" customWidth="1"/>
    <col min="7685" max="7685" width="8.5703125" style="145" customWidth="1"/>
    <col min="7686" max="7686" width="6.7109375" style="145" customWidth="1"/>
    <col min="7687" max="7687" width="11.7109375" style="145" customWidth="1"/>
    <col min="7688" max="7688" width="11.5703125" style="145" customWidth="1"/>
    <col min="7689" max="7689" width="12.5703125" style="145" customWidth="1"/>
    <col min="7690" max="7690" width="12" style="145" customWidth="1"/>
    <col min="7691" max="7691" width="12.140625" style="145" customWidth="1"/>
    <col min="7692" max="7692" width="13" style="145" customWidth="1"/>
    <col min="7693" max="7693" width="11.5703125" style="145" customWidth="1"/>
    <col min="7694" max="7694" width="12.140625" style="145" customWidth="1"/>
    <col min="7695" max="7695" width="11.85546875" style="145" bestFit="1" customWidth="1"/>
    <col min="7696" max="7696" width="10.42578125" style="145" bestFit="1" customWidth="1"/>
    <col min="7697" max="7697" width="11.7109375" style="145" bestFit="1" customWidth="1"/>
    <col min="7698" max="7934" width="9.140625" style="145"/>
    <col min="7935" max="7935" width="5.85546875" style="145" customWidth="1"/>
    <col min="7936" max="7936" width="10.5703125" style="145" customWidth="1"/>
    <col min="7937" max="7937" width="11.140625" style="145" customWidth="1"/>
    <col min="7938" max="7938" width="8.7109375" style="145" customWidth="1"/>
    <col min="7939" max="7939" width="8" style="145" customWidth="1"/>
    <col min="7940" max="7940" width="10.5703125" style="145" customWidth="1"/>
    <col min="7941" max="7941" width="8.5703125" style="145" customWidth="1"/>
    <col min="7942" max="7942" width="6.7109375" style="145" customWidth="1"/>
    <col min="7943" max="7943" width="11.7109375" style="145" customWidth="1"/>
    <col min="7944" max="7944" width="11.5703125" style="145" customWidth="1"/>
    <col min="7945" max="7945" width="12.5703125" style="145" customWidth="1"/>
    <col min="7946" max="7946" width="12" style="145" customWidth="1"/>
    <col min="7947" max="7947" width="12.140625" style="145" customWidth="1"/>
    <col min="7948" max="7948" width="13" style="145" customWidth="1"/>
    <col min="7949" max="7949" width="11.5703125" style="145" customWidth="1"/>
    <col min="7950" max="7950" width="12.140625" style="145" customWidth="1"/>
    <col min="7951" max="7951" width="11.85546875" style="145" bestFit="1" customWidth="1"/>
    <col min="7952" max="7952" width="10.42578125" style="145" bestFit="1" customWidth="1"/>
    <col min="7953" max="7953" width="11.7109375" style="145" bestFit="1" customWidth="1"/>
    <col min="7954" max="8190" width="9.140625" style="145"/>
    <col min="8191" max="8191" width="5.85546875" style="145" customWidth="1"/>
    <col min="8192" max="8192" width="10.5703125" style="145" customWidth="1"/>
    <col min="8193" max="8193" width="11.140625" style="145" customWidth="1"/>
    <col min="8194" max="8194" width="8.7109375" style="145" customWidth="1"/>
    <col min="8195" max="8195" width="8" style="145" customWidth="1"/>
    <col min="8196" max="8196" width="10.5703125" style="145" customWidth="1"/>
    <col min="8197" max="8197" width="8.5703125" style="145" customWidth="1"/>
    <col min="8198" max="8198" width="6.7109375" style="145" customWidth="1"/>
    <col min="8199" max="8199" width="11.7109375" style="145" customWidth="1"/>
    <col min="8200" max="8200" width="11.5703125" style="145" customWidth="1"/>
    <col min="8201" max="8201" width="12.5703125" style="145" customWidth="1"/>
    <col min="8202" max="8202" width="12" style="145" customWidth="1"/>
    <col min="8203" max="8203" width="12.140625" style="145" customWidth="1"/>
    <col min="8204" max="8204" width="13" style="145" customWidth="1"/>
    <col min="8205" max="8205" width="11.5703125" style="145" customWidth="1"/>
    <col min="8206" max="8206" width="12.140625" style="145" customWidth="1"/>
    <col min="8207" max="8207" width="11.85546875" style="145" bestFit="1" customWidth="1"/>
    <col min="8208" max="8208" width="10.42578125" style="145" bestFit="1" customWidth="1"/>
    <col min="8209" max="8209" width="11.7109375" style="145" bestFit="1" customWidth="1"/>
    <col min="8210" max="8446" width="9.140625" style="145"/>
    <col min="8447" max="8447" width="5.85546875" style="145" customWidth="1"/>
    <col min="8448" max="8448" width="10.5703125" style="145" customWidth="1"/>
    <col min="8449" max="8449" width="11.140625" style="145" customWidth="1"/>
    <col min="8450" max="8450" width="8.7109375" style="145" customWidth="1"/>
    <col min="8451" max="8451" width="8" style="145" customWidth="1"/>
    <col min="8452" max="8452" width="10.5703125" style="145" customWidth="1"/>
    <col min="8453" max="8453" width="8.5703125" style="145" customWidth="1"/>
    <col min="8454" max="8454" width="6.7109375" style="145" customWidth="1"/>
    <col min="8455" max="8455" width="11.7109375" style="145" customWidth="1"/>
    <col min="8456" max="8456" width="11.5703125" style="145" customWidth="1"/>
    <col min="8457" max="8457" width="12.5703125" style="145" customWidth="1"/>
    <col min="8458" max="8458" width="12" style="145" customWidth="1"/>
    <col min="8459" max="8459" width="12.140625" style="145" customWidth="1"/>
    <col min="8460" max="8460" width="13" style="145" customWidth="1"/>
    <col min="8461" max="8461" width="11.5703125" style="145" customWidth="1"/>
    <col min="8462" max="8462" width="12.140625" style="145" customWidth="1"/>
    <col min="8463" max="8463" width="11.85546875" style="145" bestFit="1" customWidth="1"/>
    <col min="8464" max="8464" width="10.42578125" style="145" bestFit="1" customWidth="1"/>
    <col min="8465" max="8465" width="11.7109375" style="145" bestFit="1" customWidth="1"/>
    <col min="8466" max="8702" width="9.140625" style="145"/>
    <col min="8703" max="8703" width="5.85546875" style="145" customWidth="1"/>
    <col min="8704" max="8704" width="10.5703125" style="145" customWidth="1"/>
    <col min="8705" max="8705" width="11.140625" style="145" customWidth="1"/>
    <col min="8706" max="8706" width="8.7109375" style="145" customWidth="1"/>
    <col min="8707" max="8707" width="8" style="145" customWidth="1"/>
    <col min="8708" max="8708" width="10.5703125" style="145" customWidth="1"/>
    <col min="8709" max="8709" width="8.5703125" style="145" customWidth="1"/>
    <col min="8710" max="8710" width="6.7109375" style="145" customWidth="1"/>
    <col min="8711" max="8711" width="11.7109375" style="145" customWidth="1"/>
    <col min="8712" max="8712" width="11.5703125" style="145" customWidth="1"/>
    <col min="8713" max="8713" width="12.5703125" style="145" customWidth="1"/>
    <col min="8714" max="8714" width="12" style="145" customWidth="1"/>
    <col min="8715" max="8715" width="12.140625" style="145" customWidth="1"/>
    <col min="8716" max="8716" width="13" style="145" customWidth="1"/>
    <col min="8717" max="8717" width="11.5703125" style="145" customWidth="1"/>
    <col min="8718" max="8718" width="12.140625" style="145" customWidth="1"/>
    <col min="8719" max="8719" width="11.85546875" style="145" bestFit="1" customWidth="1"/>
    <col min="8720" max="8720" width="10.42578125" style="145" bestFit="1" customWidth="1"/>
    <col min="8721" max="8721" width="11.7109375" style="145" bestFit="1" customWidth="1"/>
    <col min="8722" max="8958" width="9.140625" style="145"/>
    <col min="8959" max="8959" width="5.85546875" style="145" customWidth="1"/>
    <col min="8960" max="8960" width="10.5703125" style="145" customWidth="1"/>
    <col min="8961" max="8961" width="11.140625" style="145" customWidth="1"/>
    <col min="8962" max="8962" width="8.7109375" style="145" customWidth="1"/>
    <col min="8963" max="8963" width="8" style="145" customWidth="1"/>
    <col min="8964" max="8964" width="10.5703125" style="145" customWidth="1"/>
    <col min="8965" max="8965" width="8.5703125" style="145" customWidth="1"/>
    <col min="8966" max="8966" width="6.7109375" style="145" customWidth="1"/>
    <col min="8967" max="8967" width="11.7109375" style="145" customWidth="1"/>
    <col min="8968" max="8968" width="11.5703125" style="145" customWidth="1"/>
    <col min="8969" max="8969" width="12.5703125" style="145" customWidth="1"/>
    <col min="8970" max="8970" width="12" style="145" customWidth="1"/>
    <col min="8971" max="8971" width="12.140625" style="145" customWidth="1"/>
    <col min="8972" max="8972" width="13" style="145" customWidth="1"/>
    <col min="8973" max="8973" width="11.5703125" style="145" customWidth="1"/>
    <col min="8974" max="8974" width="12.140625" style="145" customWidth="1"/>
    <col min="8975" max="8975" width="11.85546875" style="145" bestFit="1" customWidth="1"/>
    <col min="8976" max="8976" width="10.42578125" style="145" bestFit="1" customWidth="1"/>
    <col min="8977" max="8977" width="11.7109375" style="145" bestFit="1" customWidth="1"/>
    <col min="8978" max="9214" width="9.140625" style="145"/>
    <col min="9215" max="9215" width="5.85546875" style="145" customWidth="1"/>
    <col min="9216" max="9216" width="10.5703125" style="145" customWidth="1"/>
    <col min="9217" max="9217" width="11.140625" style="145" customWidth="1"/>
    <col min="9218" max="9218" width="8.7109375" style="145" customWidth="1"/>
    <col min="9219" max="9219" width="8" style="145" customWidth="1"/>
    <col min="9220" max="9220" width="10.5703125" style="145" customWidth="1"/>
    <col min="9221" max="9221" width="8.5703125" style="145" customWidth="1"/>
    <col min="9222" max="9222" width="6.7109375" style="145" customWidth="1"/>
    <col min="9223" max="9223" width="11.7109375" style="145" customWidth="1"/>
    <col min="9224" max="9224" width="11.5703125" style="145" customWidth="1"/>
    <col min="9225" max="9225" width="12.5703125" style="145" customWidth="1"/>
    <col min="9226" max="9226" width="12" style="145" customWidth="1"/>
    <col min="9227" max="9227" width="12.140625" style="145" customWidth="1"/>
    <col min="9228" max="9228" width="13" style="145" customWidth="1"/>
    <col min="9229" max="9229" width="11.5703125" style="145" customWidth="1"/>
    <col min="9230" max="9230" width="12.140625" style="145" customWidth="1"/>
    <col min="9231" max="9231" width="11.85546875" style="145" bestFit="1" customWidth="1"/>
    <col min="9232" max="9232" width="10.42578125" style="145" bestFit="1" customWidth="1"/>
    <col min="9233" max="9233" width="11.7109375" style="145" bestFit="1" customWidth="1"/>
    <col min="9234" max="9470" width="9.140625" style="145"/>
    <col min="9471" max="9471" width="5.85546875" style="145" customWidth="1"/>
    <col min="9472" max="9472" width="10.5703125" style="145" customWidth="1"/>
    <col min="9473" max="9473" width="11.140625" style="145" customWidth="1"/>
    <col min="9474" max="9474" width="8.7109375" style="145" customWidth="1"/>
    <col min="9475" max="9475" width="8" style="145" customWidth="1"/>
    <col min="9476" max="9476" width="10.5703125" style="145" customWidth="1"/>
    <col min="9477" max="9477" width="8.5703125" style="145" customWidth="1"/>
    <col min="9478" max="9478" width="6.7109375" style="145" customWidth="1"/>
    <col min="9479" max="9479" width="11.7109375" style="145" customWidth="1"/>
    <col min="9480" max="9480" width="11.5703125" style="145" customWidth="1"/>
    <col min="9481" max="9481" width="12.5703125" style="145" customWidth="1"/>
    <col min="9482" max="9482" width="12" style="145" customWidth="1"/>
    <col min="9483" max="9483" width="12.140625" style="145" customWidth="1"/>
    <col min="9484" max="9484" width="13" style="145" customWidth="1"/>
    <col min="9485" max="9485" width="11.5703125" style="145" customWidth="1"/>
    <col min="9486" max="9486" width="12.140625" style="145" customWidth="1"/>
    <col min="9487" max="9487" width="11.85546875" style="145" bestFit="1" customWidth="1"/>
    <col min="9488" max="9488" width="10.42578125" style="145" bestFit="1" customWidth="1"/>
    <col min="9489" max="9489" width="11.7109375" style="145" bestFit="1" customWidth="1"/>
    <col min="9490" max="9726" width="9.140625" style="145"/>
    <col min="9727" max="9727" width="5.85546875" style="145" customWidth="1"/>
    <col min="9728" max="9728" width="10.5703125" style="145" customWidth="1"/>
    <col min="9729" max="9729" width="11.140625" style="145" customWidth="1"/>
    <col min="9730" max="9730" width="8.7109375" style="145" customWidth="1"/>
    <col min="9731" max="9731" width="8" style="145" customWidth="1"/>
    <col min="9732" max="9732" width="10.5703125" style="145" customWidth="1"/>
    <col min="9733" max="9733" width="8.5703125" style="145" customWidth="1"/>
    <col min="9734" max="9734" width="6.7109375" style="145" customWidth="1"/>
    <col min="9735" max="9735" width="11.7109375" style="145" customWidth="1"/>
    <col min="9736" max="9736" width="11.5703125" style="145" customWidth="1"/>
    <col min="9737" max="9737" width="12.5703125" style="145" customWidth="1"/>
    <col min="9738" max="9738" width="12" style="145" customWidth="1"/>
    <col min="9739" max="9739" width="12.140625" style="145" customWidth="1"/>
    <col min="9740" max="9740" width="13" style="145" customWidth="1"/>
    <col min="9741" max="9741" width="11.5703125" style="145" customWidth="1"/>
    <col min="9742" max="9742" width="12.140625" style="145" customWidth="1"/>
    <col min="9743" max="9743" width="11.85546875" style="145" bestFit="1" customWidth="1"/>
    <col min="9744" max="9744" width="10.42578125" style="145" bestFit="1" customWidth="1"/>
    <col min="9745" max="9745" width="11.7109375" style="145" bestFit="1" customWidth="1"/>
    <col min="9746" max="9982" width="9.140625" style="145"/>
    <col min="9983" max="9983" width="5.85546875" style="145" customWidth="1"/>
    <col min="9984" max="9984" width="10.5703125" style="145" customWidth="1"/>
    <col min="9985" max="9985" width="11.140625" style="145" customWidth="1"/>
    <col min="9986" max="9986" width="8.7109375" style="145" customWidth="1"/>
    <col min="9987" max="9987" width="8" style="145" customWidth="1"/>
    <col min="9988" max="9988" width="10.5703125" style="145" customWidth="1"/>
    <col min="9989" max="9989" width="8.5703125" style="145" customWidth="1"/>
    <col min="9990" max="9990" width="6.7109375" style="145" customWidth="1"/>
    <col min="9991" max="9991" width="11.7109375" style="145" customWidth="1"/>
    <col min="9992" max="9992" width="11.5703125" style="145" customWidth="1"/>
    <col min="9993" max="9993" width="12.5703125" style="145" customWidth="1"/>
    <col min="9994" max="9994" width="12" style="145" customWidth="1"/>
    <col min="9995" max="9995" width="12.140625" style="145" customWidth="1"/>
    <col min="9996" max="9996" width="13" style="145" customWidth="1"/>
    <col min="9997" max="9997" width="11.5703125" style="145" customWidth="1"/>
    <col min="9998" max="9998" width="12.140625" style="145" customWidth="1"/>
    <col min="9999" max="9999" width="11.85546875" style="145" bestFit="1" customWidth="1"/>
    <col min="10000" max="10000" width="10.42578125" style="145" bestFit="1" customWidth="1"/>
    <col min="10001" max="10001" width="11.7109375" style="145" bestFit="1" customWidth="1"/>
    <col min="10002" max="10238" width="9.140625" style="145"/>
    <col min="10239" max="10239" width="5.85546875" style="145" customWidth="1"/>
    <col min="10240" max="10240" width="10.5703125" style="145" customWidth="1"/>
    <col min="10241" max="10241" width="11.140625" style="145" customWidth="1"/>
    <col min="10242" max="10242" width="8.7109375" style="145" customWidth="1"/>
    <col min="10243" max="10243" width="8" style="145" customWidth="1"/>
    <col min="10244" max="10244" width="10.5703125" style="145" customWidth="1"/>
    <col min="10245" max="10245" width="8.5703125" style="145" customWidth="1"/>
    <col min="10246" max="10246" width="6.7109375" style="145" customWidth="1"/>
    <col min="10247" max="10247" width="11.7109375" style="145" customWidth="1"/>
    <col min="10248" max="10248" width="11.5703125" style="145" customWidth="1"/>
    <col min="10249" max="10249" width="12.5703125" style="145" customWidth="1"/>
    <col min="10250" max="10250" width="12" style="145" customWidth="1"/>
    <col min="10251" max="10251" width="12.140625" style="145" customWidth="1"/>
    <col min="10252" max="10252" width="13" style="145" customWidth="1"/>
    <col min="10253" max="10253" width="11.5703125" style="145" customWidth="1"/>
    <col min="10254" max="10254" width="12.140625" style="145" customWidth="1"/>
    <col min="10255" max="10255" width="11.85546875" style="145" bestFit="1" customWidth="1"/>
    <col min="10256" max="10256" width="10.42578125" style="145" bestFit="1" customWidth="1"/>
    <col min="10257" max="10257" width="11.7109375" style="145" bestFit="1" customWidth="1"/>
    <col min="10258" max="10494" width="9.140625" style="145"/>
    <col min="10495" max="10495" width="5.85546875" style="145" customWidth="1"/>
    <col min="10496" max="10496" width="10.5703125" style="145" customWidth="1"/>
    <col min="10497" max="10497" width="11.140625" style="145" customWidth="1"/>
    <col min="10498" max="10498" width="8.7109375" style="145" customWidth="1"/>
    <col min="10499" max="10499" width="8" style="145" customWidth="1"/>
    <col min="10500" max="10500" width="10.5703125" style="145" customWidth="1"/>
    <col min="10501" max="10501" width="8.5703125" style="145" customWidth="1"/>
    <col min="10502" max="10502" width="6.7109375" style="145" customWidth="1"/>
    <col min="10503" max="10503" width="11.7109375" style="145" customWidth="1"/>
    <col min="10504" max="10504" width="11.5703125" style="145" customWidth="1"/>
    <col min="10505" max="10505" width="12.5703125" style="145" customWidth="1"/>
    <col min="10506" max="10506" width="12" style="145" customWidth="1"/>
    <col min="10507" max="10507" width="12.140625" style="145" customWidth="1"/>
    <col min="10508" max="10508" width="13" style="145" customWidth="1"/>
    <col min="10509" max="10509" width="11.5703125" style="145" customWidth="1"/>
    <col min="10510" max="10510" width="12.140625" style="145" customWidth="1"/>
    <col min="10511" max="10511" width="11.85546875" style="145" bestFit="1" customWidth="1"/>
    <col min="10512" max="10512" width="10.42578125" style="145" bestFit="1" customWidth="1"/>
    <col min="10513" max="10513" width="11.7109375" style="145" bestFit="1" customWidth="1"/>
    <col min="10514" max="10750" width="9.140625" style="145"/>
    <col min="10751" max="10751" width="5.85546875" style="145" customWidth="1"/>
    <col min="10752" max="10752" width="10.5703125" style="145" customWidth="1"/>
    <col min="10753" max="10753" width="11.140625" style="145" customWidth="1"/>
    <col min="10754" max="10754" width="8.7109375" style="145" customWidth="1"/>
    <col min="10755" max="10755" width="8" style="145" customWidth="1"/>
    <col min="10756" max="10756" width="10.5703125" style="145" customWidth="1"/>
    <col min="10757" max="10757" width="8.5703125" style="145" customWidth="1"/>
    <col min="10758" max="10758" width="6.7109375" style="145" customWidth="1"/>
    <col min="10759" max="10759" width="11.7109375" style="145" customWidth="1"/>
    <col min="10760" max="10760" width="11.5703125" style="145" customWidth="1"/>
    <col min="10761" max="10761" width="12.5703125" style="145" customWidth="1"/>
    <col min="10762" max="10762" width="12" style="145" customWidth="1"/>
    <col min="10763" max="10763" width="12.140625" style="145" customWidth="1"/>
    <col min="10764" max="10764" width="13" style="145" customWidth="1"/>
    <col min="10765" max="10765" width="11.5703125" style="145" customWidth="1"/>
    <col min="10766" max="10766" width="12.140625" style="145" customWidth="1"/>
    <col min="10767" max="10767" width="11.85546875" style="145" bestFit="1" customWidth="1"/>
    <col min="10768" max="10768" width="10.42578125" style="145" bestFit="1" customWidth="1"/>
    <col min="10769" max="10769" width="11.7109375" style="145" bestFit="1" customWidth="1"/>
    <col min="10770" max="11006" width="9.140625" style="145"/>
    <col min="11007" max="11007" width="5.85546875" style="145" customWidth="1"/>
    <col min="11008" max="11008" width="10.5703125" style="145" customWidth="1"/>
    <col min="11009" max="11009" width="11.140625" style="145" customWidth="1"/>
    <col min="11010" max="11010" width="8.7109375" style="145" customWidth="1"/>
    <col min="11011" max="11011" width="8" style="145" customWidth="1"/>
    <col min="11012" max="11012" width="10.5703125" style="145" customWidth="1"/>
    <col min="11013" max="11013" width="8.5703125" style="145" customWidth="1"/>
    <col min="11014" max="11014" width="6.7109375" style="145" customWidth="1"/>
    <col min="11015" max="11015" width="11.7109375" style="145" customWidth="1"/>
    <col min="11016" max="11016" width="11.5703125" style="145" customWidth="1"/>
    <col min="11017" max="11017" width="12.5703125" style="145" customWidth="1"/>
    <col min="11018" max="11018" width="12" style="145" customWidth="1"/>
    <col min="11019" max="11019" width="12.140625" style="145" customWidth="1"/>
    <col min="11020" max="11020" width="13" style="145" customWidth="1"/>
    <col min="11021" max="11021" width="11.5703125" style="145" customWidth="1"/>
    <col min="11022" max="11022" width="12.140625" style="145" customWidth="1"/>
    <col min="11023" max="11023" width="11.85546875" style="145" bestFit="1" customWidth="1"/>
    <col min="11024" max="11024" width="10.42578125" style="145" bestFit="1" customWidth="1"/>
    <col min="11025" max="11025" width="11.7109375" style="145" bestFit="1" customWidth="1"/>
    <col min="11026" max="11262" width="9.140625" style="145"/>
    <col min="11263" max="11263" width="5.85546875" style="145" customWidth="1"/>
    <col min="11264" max="11264" width="10.5703125" style="145" customWidth="1"/>
    <col min="11265" max="11265" width="11.140625" style="145" customWidth="1"/>
    <col min="11266" max="11266" width="8.7109375" style="145" customWidth="1"/>
    <col min="11267" max="11267" width="8" style="145" customWidth="1"/>
    <col min="11268" max="11268" width="10.5703125" style="145" customWidth="1"/>
    <col min="11269" max="11269" width="8.5703125" style="145" customWidth="1"/>
    <col min="11270" max="11270" width="6.7109375" style="145" customWidth="1"/>
    <col min="11271" max="11271" width="11.7109375" style="145" customWidth="1"/>
    <col min="11272" max="11272" width="11.5703125" style="145" customWidth="1"/>
    <col min="11273" max="11273" width="12.5703125" style="145" customWidth="1"/>
    <col min="11274" max="11274" width="12" style="145" customWidth="1"/>
    <col min="11275" max="11275" width="12.140625" style="145" customWidth="1"/>
    <col min="11276" max="11276" width="13" style="145" customWidth="1"/>
    <col min="11277" max="11277" width="11.5703125" style="145" customWidth="1"/>
    <col min="11278" max="11278" width="12.140625" style="145" customWidth="1"/>
    <col min="11279" max="11279" width="11.85546875" style="145" bestFit="1" customWidth="1"/>
    <col min="11280" max="11280" width="10.42578125" style="145" bestFit="1" customWidth="1"/>
    <col min="11281" max="11281" width="11.7109375" style="145" bestFit="1" customWidth="1"/>
    <col min="11282" max="11518" width="9.140625" style="145"/>
    <col min="11519" max="11519" width="5.85546875" style="145" customWidth="1"/>
    <col min="11520" max="11520" width="10.5703125" style="145" customWidth="1"/>
    <col min="11521" max="11521" width="11.140625" style="145" customWidth="1"/>
    <col min="11522" max="11522" width="8.7109375" style="145" customWidth="1"/>
    <col min="11523" max="11523" width="8" style="145" customWidth="1"/>
    <col min="11524" max="11524" width="10.5703125" style="145" customWidth="1"/>
    <col min="11525" max="11525" width="8.5703125" style="145" customWidth="1"/>
    <col min="11526" max="11526" width="6.7109375" style="145" customWidth="1"/>
    <col min="11527" max="11527" width="11.7109375" style="145" customWidth="1"/>
    <col min="11528" max="11528" width="11.5703125" style="145" customWidth="1"/>
    <col min="11529" max="11529" width="12.5703125" style="145" customWidth="1"/>
    <col min="11530" max="11530" width="12" style="145" customWidth="1"/>
    <col min="11531" max="11531" width="12.140625" style="145" customWidth="1"/>
    <col min="11532" max="11532" width="13" style="145" customWidth="1"/>
    <col min="11533" max="11533" width="11.5703125" style="145" customWidth="1"/>
    <col min="11534" max="11534" width="12.140625" style="145" customWidth="1"/>
    <col min="11535" max="11535" width="11.85546875" style="145" bestFit="1" customWidth="1"/>
    <col min="11536" max="11536" width="10.42578125" style="145" bestFit="1" customWidth="1"/>
    <col min="11537" max="11537" width="11.7109375" style="145" bestFit="1" customWidth="1"/>
    <col min="11538" max="11774" width="9.140625" style="145"/>
    <col min="11775" max="11775" width="5.85546875" style="145" customWidth="1"/>
    <col min="11776" max="11776" width="10.5703125" style="145" customWidth="1"/>
    <col min="11777" max="11777" width="11.140625" style="145" customWidth="1"/>
    <col min="11778" max="11778" width="8.7109375" style="145" customWidth="1"/>
    <col min="11779" max="11779" width="8" style="145" customWidth="1"/>
    <col min="11780" max="11780" width="10.5703125" style="145" customWidth="1"/>
    <col min="11781" max="11781" width="8.5703125" style="145" customWidth="1"/>
    <col min="11782" max="11782" width="6.7109375" style="145" customWidth="1"/>
    <col min="11783" max="11783" width="11.7109375" style="145" customWidth="1"/>
    <col min="11784" max="11784" width="11.5703125" style="145" customWidth="1"/>
    <col min="11785" max="11785" width="12.5703125" style="145" customWidth="1"/>
    <col min="11786" max="11786" width="12" style="145" customWidth="1"/>
    <col min="11787" max="11787" width="12.140625" style="145" customWidth="1"/>
    <col min="11788" max="11788" width="13" style="145" customWidth="1"/>
    <col min="11789" max="11789" width="11.5703125" style="145" customWidth="1"/>
    <col min="11790" max="11790" width="12.140625" style="145" customWidth="1"/>
    <col min="11791" max="11791" width="11.85546875" style="145" bestFit="1" customWidth="1"/>
    <col min="11792" max="11792" width="10.42578125" style="145" bestFit="1" customWidth="1"/>
    <col min="11793" max="11793" width="11.7109375" style="145" bestFit="1" customWidth="1"/>
    <col min="11794" max="12030" width="9.140625" style="145"/>
    <col min="12031" max="12031" width="5.85546875" style="145" customWidth="1"/>
    <col min="12032" max="12032" width="10.5703125" style="145" customWidth="1"/>
    <col min="12033" max="12033" width="11.140625" style="145" customWidth="1"/>
    <col min="12034" max="12034" width="8.7109375" style="145" customWidth="1"/>
    <col min="12035" max="12035" width="8" style="145" customWidth="1"/>
    <col min="12036" max="12036" width="10.5703125" style="145" customWidth="1"/>
    <col min="12037" max="12037" width="8.5703125" style="145" customWidth="1"/>
    <col min="12038" max="12038" width="6.7109375" style="145" customWidth="1"/>
    <col min="12039" max="12039" width="11.7109375" style="145" customWidth="1"/>
    <col min="12040" max="12040" width="11.5703125" style="145" customWidth="1"/>
    <col min="12041" max="12041" width="12.5703125" style="145" customWidth="1"/>
    <col min="12042" max="12042" width="12" style="145" customWidth="1"/>
    <col min="12043" max="12043" width="12.140625" style="145" customWidth="1"/>
    <col min="12044" max="12044" width="13" style="145" customWidth="1"/>
    <col min="12045" max="12045" width="11.5703125" style="145" customWidth="1"/>
    <col min="12046" max="12046" width="12.140625" style="145" customWidth="1"/>
    <col min="12047" max="12047" width="11.85546875" style="145" bestFit="1" customWidth="1"/>
    <col min="12048" max="12048" width="10.42578125" style="145" bestFit="1" customWidth="1"/>
    <col min="12049" max="12049" width="11.7109375" style="145" bestFit="1" customWidth="1"/>
    <col min="12050" max="12286" width="9.140625" style="145"/>
    <col min="12287" max="12287" width="5.85546875" style="145" customWidth="1"/>
    <col min="12288" max="12288" width="10.5703125" style="145" customWidth="1"/>
    <col min="12289" max="12289" width="11.140625" style="145" customWidth="1"/>
    <col min="12290" max="12290" width="8.7109375" style="145" customWidth="1"/>
    <col min="12291" max="12291" width="8" style="145" customWidth="1"/>
    <col min="12292" max="12292" width="10.5703125" style="145" customWidth="1"/>
    <col min="12293" max="12293" width="8.5703125" style="145" customWidth="1"/>
    <col min="12294" max="12294" width="6.7109375" style="145" customWidth="1"/>
    <col min="12295" max="12295" width="11.7109375" style="145" customWidth="1"/>
    <col min="12296" max="12296" width="11.5703125" style="145" customWidth="1"/>
    <col min="12297" max="12297" width="12.5703125" style="145" customWidth="1"/>
    <col min="12298" max="12298" width="12" style="145" customWidth="1"/>
    <col min="12299" max="12299" width="12.140625" style="145" customWidth="1"/>
    <col min="12300" max="12300" width="13" style="145" customWidth="1"/>
    <col min="12301" max="12301" width="11.5703125" style="145" customWidth="1"/>
    <col min="12302" max="12302" width="12.140625" style="145" customWidth="1"/>
    <col min="12303" max="12303" width="11.85546875" style="145" bestFit="1" customWidth="1"/>
    <col min="12304" max="12304" width="10.42578125" style="145" bestFit="1" customWidth="1"/>
    <col min="12305" max="12305" width="11.7109375" style="145" bestFit="1" customWidth="1"/>
    <col min="12306" max="12542" width="9.140625" style="145"/>
    <col min="12543" max="12543" width="5.85546875" style="145" customWidth="1"/>
    <col min="12544" max="12544" width="10.5703125" style="145" customWidth="1"/>
    <col min="12545" max="12545" width="11.140625" style="145" customWidth="1"/>
    <col min="12546" max="12546" width="8.7109375" style="145" customWidth="1"/>
    <col min="12547" max="12547" width="8" style="145" customWidth="1"/>
    <col min="12548" max="12548" width="10.5703125" style="145" customWidth="1"/>
    <col min="12549" max="12549" width="8.5703125" style="145" customWidth="1"/>
    <col min="12550" max="12550" width="6.7109375" style="145" customWidth="1"/>
    <col min="12551" max="12551" width="11.7109375" style="145" customWidth="1"/>
    <col min="12552" max="12552" width="11.5703125" style="145" customWidth="1"/>
    <col min="12553" max="12553" width="12.5703125" style="145" customWidth="1"/>
    <col min="12554" max="12554" width="12" style="145" customWidth="1"/>
    <col min="12555" max="12555" width="12.140625" style="145" customWidth="1"/>
    <col min="12556" max="12556" width="13" style="145" customWidth="1"/>
    <col min="12557" max="12557" width="11.5703125" style="145" customWidth="1"/>
    <col min="12558" max="12558" width="12.140625" style="145" customWidth="1"/>
    <col min="12559" max="12559" width="11.85546875" style="145" bestFit="1" customWidth="1"/>
    <col min="12560" max="12560" width="10.42578125" style="145" bestFit="1" customWidth="1"/>
    <col min="12561" max="12561" width="11.7109375" style="145" bestFit="1" customWidth="1"/>
    <col min="12562" max="12798" width="9.140625" style="145"/>
    <col min="12799" max="12799" width="5.85546875" style="145" customWidth="1"/>
    <col min="12800" max="12800" width="10.5703125" style="145" customWidth="1"/>
    <col min="12801" max="12801" width="11.140625" style="145" customWidth="1"/>
    <col min="12802" max="12802" width="8.7109375" style="145" customWidth="1"/>
    <col min="12803" max="12803" width="8" style="145" customWidth="1"/>
    <col min="12804" max="12804" width="10.5703125" style="145" customWidth="1"/>
    <col min="12805" max="12805" width="8.5703125" style="145" customWidth="1"/>
    <col min="12806" max="12806" width="6.7109375" style="145" customWidth="1"/>
    <col min="12807" max="12807" width="11.7109375" style="145" customWidth="1"/>
    <col min="12808" max="12808" width="11.5703125" style="145" customWidth="1"/>
    <col min="12809" max="12809" width="12.5703125" style="145" customWidth="1"/>
    <col min="12810" max="12810" width="12" style="145" customWidth="1"/>
    <col min="12811" max="12811" width="12.140625" style="145" customWidth="1"/>
    <col min="12812" max="12812" width="13" style="145" customWidth="1"/>
    <col min="12813" max="12813" width="11.5703125" style="145" customWidth="1"/>
    <col min="12814" max="12814" width="12.140625" style="145" customWidth="1"/>
    <col min="12815" max="12815" width="11.85546875" style="145" bestFit="1" customWidth="1"/>
    <col min="12816" max="12816" width="10.42578125" style="145" bestFit="1" customWidth="1"/>
    <col min="12817" max="12817" width="11.7109375" style="145" bestFit="1" customWidth="1"/>
    <col min="12818" max="13054" width="9.140625" style="145"/>
    <col min="13055" max="13055" width="5.85546875" style="145" customWidth="1"/>
    <col min="13056" max="13056" width="10.5703125" style="145" customWidth="1"/>
    <col min="13057" max="13057" width="11.140625" style="145" customWidth="1"/>
    <col min="13058" max="13058" width="8.7109375" style="145" customWidth="1"/>
    <col min="13059" max="13059" width="8" style="145" customWidth="1"/>
    <col min="13060" max="13060" width="10.5703125" style="145" customWidth="1"/>
    <col min="13061" max="13061" width="8.5703125" style="145" customWidth="1"/>
    <col min="13062" max="13062" width="6.7109375" style="145" customWidth="1"/>
    <col min="13063" max="13063" width="11.7109375" style="145" customWidth="1"/>
    <col min="13064" max="13064" width="11.5703125" style="145" customWidth="1"/>
    <col min="13065" max="13065" width="12.5703125" style="145" customWidth="1"/>
    <col min="13066" max="13066" width="12" style="145" customWidth="1"/>
    <col min="13067" max="13067" width="12.140625" style="145" customWidth="1"/>
    <col min="13068" max="13068" width="13" style="145" customWidth="1"/>
    <col min="13069" max="13069" width="11.5703125" style="145" customWidth="1"/>
    <col min="13070" max="13070" width="12.140625" style="145" customWidth="1"/>
    <col min="13071" max="13071" width="11.85546875" style="145" bestFit="1" customWidth="1"/>
    <col min="13072" max="13072" width="10.42578125" style="145" bestFit="1" customWidth="1"/>
    <col min="13073" max="13073" width="11.7109375" style="145" bestFit="1" customWidth="1"/>
    <col min="13074" max="13310" width="9.140625" style="145"/>
    <col min="13311" max="13311" width="5.85546875" style="145" customWidth="1"/>
    <col min="13312" max="13312" width="10.5703125" style="145" customWidth="1"/>
    <col min="13313" max="13313" width="11.140625" style="145" customWidth="1"/>
    <col min="13314" max="13314" width="8.7109375" style="145" customWidth="1"/>
    <col min="13315" max="13315" width="8" style="145" customWidth="1"/>
    <col min="13316" max="13316" width="10.5703125" style="145" customWidth="1"/>
    <col min="13317" max="13317" width="8.5703125" style="145" customWidth="1"/>
    <col min="13318" max="13318" width="6.7109375" style="145" customWidth="1"/>
    <col min="13319" max="13319" width="11.7109375" style="145" customWidth="1"/>
    <col min="13320" max="13320" width="11.5703125" style="145" customWidth="1"/>
    <col min="13321" max="13321" width="12.5703125" style="145" customWidth="1"/>
    <col min="13322" max="13322" width="12" style="145" customWidth="1"/>
    <col min="13323" max="13323" width="12.140625" style="145" customWidth="1"/>
    <col min="13324" max="13324" width="13" style="145" customWidth="1"/>
    <col min="13325" max="13325" width="11.5703125" style="145" customWidth="1"/>
    <col min="13326" max="13326" width="12.140625" style="145" customWidth="1"/>
    <col min="13327" max="13327" width="11.85546875" style="145" bestFit="1" customWidth="1"/>
    <col min="13328" max="13328" width="10.42578125" style="145" bestFit="1" customWidth="1"/>
    <col min="13329" max="13329" width="11.7109375" style="145" bestFit="1" customWidth="1"/>
    <col min="13330" max="13566" width="9.140625" style="145"/>
    <col min="13567" max="13567" width="5.85546875" style="145" customWidth="1"/>
    <col min="13568" max="13568" width="10.5703125" style="145" customWidth="1"/>
    <col min="13569" max="13569" width="11.140625" style="145" customWidth="1"/>
    <col min="13570" max="13570" width="8.7109375" style="145" customWidth="1"/>
    <col min="13571" max="13571" width="8" style="145" customWidth="1"/>
    <col min="13572" max="13572" width="10.5703125" style="145" customWidth="1"/>
    <col min="13573" max="13573" width="8.5703125" style="145" customWidth="1"/>
    <col min="13574" max="13574" width="6.7109375" style="145" customWidth="1"/>
    <col min="13575" max="13575" width="11.7109375" style="145" customWidth="1"/>
    <col min="13576" max="13576" width="11.5703125" style="145" customWidth="1"/>
    <col min="13577" max="13577" width="12.5703125" style="145" customWidth="1"/>
    <col min="13578" max="13578" width="12" style="145" customWidth="1"/>
    <col min="13579" max="13579" width="12.140625" style="145" customWidth="1"/>
    <col min="13580" max="13580" width="13" style="145" customWidth="1"/>
    <col min="13581" max="13581" width="11.5703125" style="145" customWidth="1"/>
    <col min="13582" max="13582" width="12.140625" style="145" customWidth="1"/>
    <col min="13583" max="13583" width="11.85546875" style="145" bestFit="1" customWidth="1"/>
    <col min="13584" max="13584" width="10.42578125" style="145" bestFit="1" customWidth="1"/>
    <col min="13585" max="13585" width="11.7109375" style="145" bestFit="1" customWidth="1"/>
    <col min="13586" max="13822" width="9.140625" style="145"/>
    <col min="13823" max="13823" width="5.85546875" style="145" customWidth="1"/>
    <col min="13824" max="13824" width="10.5703125" style="145" customWidth="1"/>
    <col min="13825" max="13825" width="11.140625" style="145" customWidth="1"/>
    <col min="13826" max="13826" width="8.7109375" style="145" customWidth="1"/>
    <col min="13827" max="13827" width="8" style="145" customWidth="1"/>
    <col min="13828" max="13828" width="10.5703125" style="145" customWidth="1"/>
    <col min="13829" max="13829" width="8.5703125" style="145" customWidth="1"/>
    <col min="13830" max="13830" width="6.7109375" style="145" customWidth="1"/>
    <col min="13831" max="13831" width="11.7109375" style="145" customWidth="1"/>
    <col min="13832" max="13832" width="11.5703125" style="145" customWidth="1"/>
    <col min="13833" max="13833" width="12.5703125" style="145" customWidth="1"/>
    <col min="13834" max="13834" width="12" style="145" customWidth="1"/>
    <col min="13835" max="13835" width="12.140625" style="145" customWidth="1"/>
    <col min="13836" max="13836" width="13" style="145" customWidth="1"/>
    <col min="13837" max="13837" width="11.5703125" style="145" customWidth="1"/>
    <col min="13838" max="13838" width="12.140625" style="145" customWidth="1"/>
    <col min="13839" max="13839" width="11.85546875" style="145" bestFit="1" customWidth="1"/>
    <col min="13840" max="13840" width="10.42578125" style="145" bestFit="1" customWidth="1"/>
    <col min="13841" max="13841" width="11.7109375" style="145" bestFit="1" customWidth="1"/>
    <col min="13842" max="14078" width="9.140625" style="145"/>
    <col min="14079" max="14079" width="5.85546875" style="145" customWidth="1"/>
    <col min="14080" max="14080" width="10.5703125" style="145" customWidth="1"/>
    <col min="14081" max="14081" width="11.140625" style="145" customWidth="1"/>
    <col min="14082" max="14082" width="8.7109375" style="145" customWidth="1"/>
    <col min="14083" max="14083" width="8" style="145" customWidth="1"/>
    <col min="14084" max="14084" width="10.5703125" style="145" customWidth="1"/>
    <col min="14085" max="14085" width="8.5703125" style="145" customWidth="1"/>
    <col min="14086" max="14086" width="6.7109375" style="145" customWidth="1"/>
    <col min="14087" max="14087" width="11.7109375" style="145" customWidth="1"/>
    <col min="14088" max="14088" width="11.5703125" style="145" customWidth="1"/>
    <col min="14089" max="14089" width="12.5703125" style="145" customWidth="1"/>
    <col min="14090" max="14090" width="12" style="145" customWidth="1"/>
    <col min="14091" max="14091" width="12.140625" style="145" customWidth="1"/>
    <col min="14092" max="14092" width="13" style="145" customWidth="1"/>
    <col min="14093" max="14093" width="11.5703125" style="145" customWidth="1"/>
    <col min="14094" max="14094" width="12.140625" style="145" customWidth="1"/>
    <col min="14095" max="14095" width="11.85546875" style="145" bestFit="1" customWidth="1"/>
    <col min="14096" max="14096" width="10.42578125" style="145" bestFit="1" customWidth="1"/>
    <col min="14097" max="14097" width="11.7109375" style="145" bestFit="1" customWidth="1"/>
    <col min="14098" max="14334" width="9.140625" style="145"/>
    <col min="14335" max="14335" width="5.85546875" style="145" customWidth="1"/>
    <col min="14336" max="14336" width="10.5703125" style="145" customWidth="1"/>
    <col min="14337" max="14337" width="11.140625" style="145" customWidth="1"/>
    <col min="14338" max="14338" width="8.7109375" style="145" customWidth="1"/>
    <col min="14339" max="14339" width="8" style="145" customWidth="1"/>
    <col min="14340" max="14340" width="10.5703125" style="145" customWidth="1"/>
    <col min="14341" max="14341" width="8.5703125" style="145" customWidth="1"/>
    <col min="14342" max="14342" width="6.7109375" style="145" customWidth="1"/>
    <col min="14343" max="14343" width="11.7109375" style="145" customWidth="1"/>
    <col min="14344" max="14344" width="11.5703125" style="145" customWidth="1"/>
    <col min="14345" max="14345" width="12.5703125" style="145" customWidth="1"/>
    <col min="14346" max="14346" width="12" style="145" customWidth="1"/>
    <col min="14347" max="14347" width="12.140625" style="145" customWidth="1"/>
    <col min="14348" max="14348" width="13" style="145" customWidth="1"/>
    <col min="14349" max="14349" width="11.5703125" style="145" customWidth="1"/>
    <col min="14350" max="14350" width="12.140625" style="145" customWidth="1"/>
    <col min="14351" max="14351" width="11.85546875" style="145" bestFit="1" customWidth="1"/>
    <col min="14352" max="14352" width="10.42578125" style="145" bestFit="1" customWidth="1"/>
    <col min="14353" max="14353" width="11.7109375" style="145" bestFit="1" customWidth="1"/>
    <col min="14354" max="14590" width="9.140625" style="145"/>
    <col min="14591" max="14591" width="5.85546875" style="145" customWidth="1"/>
    <col min="14592" max="14592" width="10.5703125" style="145" customWidth="1"/>
    <col min="14593" max="14593" width="11.140625" style="145" customWidth="1"/>
    <col min="14594" max="14594" width="8.7109375" style="145" customWidth="1"/>
    <col min="14595" max="14595" width="8" style="145" customWidth="1"/>
    <col min="14596" max="14596" width="10.5703125" style="145" customWidth="1"/>
    <col min="14597" max="14597" width="8.5703125" style="145" customWidth="1"/>
    <col min="14598" max="14598" width="6.7109375" style="145" customWidth="1"/>
    <col min="14599" max="14599" width="11.7109375" style="145" customWidth="1"/>
    <col min="14600" max="14600" width="11.5703125" style="145" customWidth="1"/>
    <col min="14601" max="14601" width="12.5703125" style="145" customWidth="1"/>
    <col min="14602" max="14602" width="12" style="145" customWidth="1"/>
    <col min="14603" max="14603" width="12.140625" style="145" customWidth="1"/>
    <col min="14604" max="14604" width="13" style="145" customWidth="1"/>
    <col min="14605" max="14605" width="11.5703125" style="145" customWidth="1"/>
    <col min="14606" max="14606" width="12.140625" style="145" customWidth="1"/>
    <col min="14607" max="14607" width="11.85546875" style="145" bestFit="1" customWidth="1"/>
    <col min="14608" max="14608" width="10.42578125" style="145" bestFit="1" customWidth="1"/>
    <col min="14609" max="14609" width="11.7109375" style="145" bestFit="1" customWidth="1"/>
    <col min="14610" max="14846" width="9.140625" style="145"/>
    <col min="14847" max="14847" width="5.85546875" style="145" customWidth="1"/>
    <col min="14848" max="14848" width="10.5703125" style="145" customWidth="1"/>
    <col min="14849" max="14849" width="11.140625" style="145" customWidth="1"/>
    <col min="14850" max="14850" width="8.7109375" style="145" customWidth="1"/>
    <col min="14851" max="14851" width="8" style="145" customWidth="1"/>
    <col min="14852" max="14852" width="10.5703125" style="145" customWidth="1"/>
    <col min="14853" max="14853" width="8.5703125" style="145" customWidth="1"/>
    <col min="14854" max="14854" width="6.7109375" style="145" customWidth="1"/>
    <col min="14855" max="14855" width="11.7109375" style="145" customWidth="1"/>
    <col min="14856" max="14856" width="11.5703125" style="145" customWidth="1"/>
    <col min="14857" max="14857" width="12.5703125" style="145" customWidth="1"/>
    <col min="14858" max="14858" width="12" style="145" customWidth="1"/>
    <col min="14859" max="14859" width="12.140625" style="145" customWidth="1"/>
    <col min="14860" max="14860" width="13" style="145" customWidth="1"/>
    <col min="14861" max="14861" width="11.5703125" style="145" customWidth="1"/>
    <col min="14862" max="14862" width="12.140625" style="145" customWidth="1"/>
    <col min="14863" max="14863" width="11.85546875" style="145" bestFit="1" customWidth="1"/>
    <col min="14864" max="14864" width="10.42578125" style="145" bestFit="1" customWidth="1"/>
    <col min="14865" max="14865" width="11.7109375" style="145" bestFit="1" customWidth="1"/>
    <col min="14866" max="15102" width="9.140625" style="145"/>
    <col min="15103" max="15103" width="5.85546875" style="145" customWidth="1"/>
    <col min="15104" max="15104" width="10.5703125" style="145" customWidth="1"/>
    <col min="15105" max="15105" width="11.140625" style="145" customWidth="1"/>
    <col min="15106" max="15106" width="8.7109375" style="145" customWidth="1"/>
    <col min="15107" max="15107" width="8" style="145" customWidth="1"/>
    <col min="15108" max="15108" width="10.5703125" style="145" customWidth="1"/>
    <col min="15109" max="15109" width="8.5703125" style="145" customWidth="1"/>
    <col min="15110" max="15110" width="6.7109375" style="145" customWidth="1"/>
    <col min="15111" max="15111" width="11.7109375" style="145" customWidth="1"/>
    <col min="15112" max="15112" width="11.5703125" style="145" customWidth="1"/>
    <col min="15113" max="15113" width="12.5703125" style="145" customWidth="1"/>
    <col min="15114" max="15114" width="12" style="145" customWidth="1"/>
    <col min="15115" max="15115" width="12.140625" style="145" customWidth="1"/>
    <col min="15116" max="15116" width="13" style="145" customWidth="1"/>
    <col min="15117" max="15117" width="11.5703125" style="145" customWidth="1"/>
    <col min="15118" max="15118" width="12.140625" style="145" customWidth="1"/>
    <col min="15119" max="15119" width="11.85546875" style="145" bestFit="1" customWidth="1"/>
    <col min="15120" max="15120" width="10.42578125" style="145" bestFit="1" customWidth="1"/>
    <col min="15121" max="15121" width="11.7109375" style="145" bestFit="1" customWidth="1"/>
    <col min="15122" max="15358" width="9.140625" style="145"/>
    <col min="15359" max="15359" width="5.85546875" style="145" customWidth="1"/>
    <col min="15360" max="15360" width="10.5703125" style="145" customWidth="1"/>
    <col min="15361" max="15361" width="11.140625" style="145" customWidth="1"/>
    <col min="15362" max="15362" width="8.7109375" style="145" customWidth="1"/>
    <col min="15363" max="15363" width="8" style="145" customWidth="1"/>
    <col min="15364" max="15364" width="10.5703125" style="145" customWidth="1"/>
    <col min="15365" max="15365" width="8.5703125" style="145" customWidth="1"/>
    <col min="15366" max="15366" width="6.7109375" style="145" customWidth="1"/>
    <col min="15367" max="15367" width="11.7109375" style="145" customWidth="1"/>
    <col min="15368" max="15368" width="11.5703125" style="145" customWidth="1"/>
    <col min="15369" max="15369" width="12.5703125" style="145" customWidth="1"/>
    <col min="15370" max="15370" width="12" style="145" customWidth="1"/>
    <col min="15371" max="15371" width="12.140625" style="145" customWidth="1"/>
    <col min="15372" max="15372" width="13" style="145" customWidth="1"/>
    <col min="15373" max="15373" width="11.5703125" style="145" customWidth="1"/>
    <col min="15374" max="15374" width="12.140625" style="145" customWidth="1"/>
    <col min="15375" max="15375" width="11.85546875" style="145" bestFit="1" customWidth="1"/>
    <col min="15376" max="15376" width="10.42578125" style="145" bestFit="1" customWidth="1"/>
    <col min="15377" max="15377" width="11.7109375" style="145" bestFit="1" customWidth="1"/>
    <col min="15378" max="15614" width="9.140625" style="145"/>
    <col min="15615" max="15615" width="5.85546875" style="145" customWidth="1"/>
    <col min="15616" max="15616" width="10.5703125" style="145" customWidth="1"/>
    <col min="15617" max="15617" width="11.140625" style="145" customWidth="1"/>
    <col min="15618" max="15618" width="8.7109375" style="145" customWidth="1"/>
    <col min="15619" max="15619" width="8" style="145" customWidth="1"/>
    <col min="15620" max="15620" width="10.5703125" style="145" customWidth="1"/>
    <col min="15621" max="15621" width="8.5703125" style="145" customWidth="1"/>
    <col min="15622" max="15622" width="6.7109375" style="145" customWidth="1"/>
    <col min="15623" max="15623" width="11.7109375" style="145" customWidth="1"/>
    <col min="15624" max="15624" width="11.5703125" style="145" customWidth="1"/>
    <col min="15625" max="15625" width="12.5703125" style="145" customWidth="1"/>
    <col min="15626" max="15626" width="12" style="145" customWidth="1"/>
    <col min="15627" max="15627" width="12.140625" style="145" customWidth="1"/>
    <col min="15628" max="15628" width="13" style="145" customWidth="1"/>
    <col min="15629" max="15629" width="11.5703125" style="145" customWidth="1"/>
    <col min="15630" max="15630" width="12.140625" style="145" customWidth="1"/>
    <col min="15631" max="15631" width="11.85546875" style="145" bestFit="1" customWidth="1"/>
    <col min="15632" max="15632" width="10.42578125" style="145" bestFit="1" customWidth="1"/>
    <col min="15633" max="15633" width="11.7109375" style="145" bestFit="1" customWidth="1"/>
    <col min="15634" max="15870" width="9.140625" style="145"/>
    <col min="15871" max="15871" width="5.85546875" style="145" customWidth="1"/>
    <col min="15872" max="15872" width="10.5703125" style="145" customWidth="1"/>
    <col min="15873" max="15873" width="11.140625" style="145" customWidth="1"/>
    <col min="15874" max="15874" width="8.7109375" style="145" customWidth="1"/>
    <col min="15875" max="15875" width="8" style="145" customWidth="1"/>
    <col min="15876" max="15876" width="10.5703125" style="145" customWidth="1"/>
    <col min="15877" max="15877" width="8.5703125" style="145" customWidth="1"/>
    <col min="15878" max="15878" width="6.7109375" style="145" customWidth="1"/>
    <col min="15879" max="15879" width="11.7109375" style="145" customWidth="1"/>
    <col min="15880" max="15880" width="11.5703125" style="145" customWidth="1"/>
    <col min="15881" max="15881" width="12.5703125" style="145" customWidth="1"/>
    <col min="15882" max="15882" width="12" style="145" customWidth="1"/>
    <col min="15883" max="15883" width="12.140625" style="145" customWidth="1"/>
    <col min="15884" max="15884" width="13" style="145" customWidth="1"/>
    <col min="15885" max="15885" width="11.5703125" style="145" customWidth="1"/>
    <col min="15886" max="15886" width="12.140625" style="145" customWidth="1"/>
    <col min="15887" max="15887" width="11.85546875" style="145" bestFit="1" customWidth="1"/>
    <col min="15888" max="15888" width="10.42578125" style="145" bestFit="1" customWidth="1"/>
    <col min="15889" max="15889" width="11.7109375" style="145" bestFit="1" customWidth="1"/>
    <col min="15890" max="16126" width="9.140625" style="145"/>
    <col min="16127" max="16127" width="5.85546875" style="145" customWidth="1"/>
    <col min="16128" max="16128" width="10.5703125" style="145" customWidth="1"/>
    <col min="16129" max="16129" width="11.140625" style="145" customWidth="1"/>
    <col min="16130" max="16130" width="8.7109375" style="145" customWidth="1"/>
    <col min="16131" max="16131" width="8" style="145" customWidth="1"/>
    <col min="16132" max="16132" width="10.5703125" style="145" customWidth="1"/>
    <col min="16133" max="16133" width="8.5703125" style="145" customWidth="1"/>
    <col min="16134" max="16134" width="6.7109375" style="145" customWidth="1"/>
    <col min="16135" max="16135" width="11.7109375" style="145" customWidth="1"/>
    <col min="16136" max="16136" width="11.5703125" style="145" customWidth="1"/>
    <col min="16137" max="16137" width="12.5703125" style="145" customWidth="1"/>
    <col min="16138" max="16138" width="12" style="145" customWidth="1"/>
    <col min="16139" max="16139" width="12.140625" style="145" customWidth="1"/>
    <col min="16140" max="16140" width="13" style="145" customWidth="1"/>
    <col min="16141" max="16141" width="11.5703125" style="145" customWidth="1"/>
    <col min="16142" max="16142" width="12.140625" style="145" customWidth="1"/>
    <col min="16143" max="16143" width="11.85546875" style="145" bestFit="1" customWidth="1"/>
    <col min="16144" max="16144" width="10.42578125" style="145" bestFit="1" customWidth="1"/>
    <col min="16145" max="16145" width="11.7109375" style="145" bestFit="1" customWidth="1"/>
    <col min="16146" max="16384" width="9.140625" style="145"/>
  </cols>
  <sheetData>
    <row r="1" spans="1:20" ht="29.25" customHeight="1" x14ac:dyDescent="0.25">
      <c r="A1" s="1142" t="s">
        <v>107</v>
      </c>
      <c r="B1" s="1142"/>
      <c r="C1" s="1142"/>
      <c r="D1" s="1142"/>
      <c r="E1" s="1142"/>
      <c r="F1" s="1142"/>
      <c r="G1" s="1142"/>
      <c r="H1" s="155"/>
    </row>
    <row r="3" spans="1:20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56"/>
    </row>
    <row r="4" spans="1:20" ht="15.75" x14ac:dyDescent="0.25">
      <c r="A4" s="1144" t="str">
        <f>'СВОД смет'!A7:H7</f>
        <v>на 2020 год</v>
      </c>
      <c r="B4" s="1144"/>
      <c r="C4" s="1144"/>
      <c r="D4" s="1144"/>
      <c r="E4" s="1144"/>
      <c r="F4" s="1144"/>
      <c r="G4" s="1144"/>
      <c r="H4" s="157"/>
      <c r="Q4" s="146"/>
      <c r="R4" s="146"/>
      <c r="S4" s="146"/>
      <c r="T4" s="146"/>
    </row>
    <row r="5" spans="1:20" ht="15.75" x14ac:dyDescent="0.25">
      <c r="A5" s="199"/>
      <c r="B5" s="199"/>
      <c r="C5" s="199"/>
      <c r="D5" s="199"/>
      <c r="E5" s="199"/>
      <c r="F5" s="199"/>
      <c r="G5" s="199"/>
      <c r="H5" s="157"/>
      <c r="Q5" s="146"/>
      <c r="R5" s="146"/>
      <c r="S5" s="146"/>
      <c r="T5" s="146"/>
    </row>
    <row r="6" spans="1:20" x14ac:dyDescent="0.25">
      <c r="A6" s="1145" t="s">
        <v>385</v>
      </c>
      <c r="B6" s="1145"/>
      <c r="C6" s="1145"/>
      <c r="D6" s="1145"/>
      <c r="E6" s="1145"/>
      <c r="F6" s="1145"/>
      <c r="G6" s="1145"/>
      <c r="H6" s="158"/>
      <c r="J6" s="466" t="s">
        <v>386</v>
      </c>
      <c r="K6" s="466" t="s">
        <v>387</v>
      </c>
      <c r="L6" s="467" t="s">
        <v>388</v>
      </c>
      <c r="M6" s="466" t="s">
        <v>563</v>
      </c>
      <c r="N6" s="181"/>
      <c r="R6" s="146"/>
      <c r="S6" s="146"/>
      <c r="T6" s="146"/>
    </row>
    <row r="7" spans="1:20" ht="24" x14ac:dyDescent="0.25">
      <c r="A7" s="163" t="s">
        <v>258</v>
      </c>
      <c r="B7" s="195" t="s">
        <v>492</v>
      </c>
      <c r="C7" s="161" t="s">
        <v>343</v>
      </c>
      <c r="D7" s="162" t="s">
        <v>389</v>
      </c>
      <c r="E7" s="163" t="s">
        <v>417</v>
      </c>
      <c r="F7" s="731" t="s">
        <v>889</v>
      </c>
      <c r="G7" s="927" t="s">
        <v>890</v>
      </c>
      <c r="I7" s="468"/>
      <c r="J7" s="469">
        <f>22%</f>
        <v>0.22</v>
      </c>
      <c r="K7" s="469">
        <v>5.0999999999999997E-2</v>
      </c>
      <c r="L7" s="469">
        <v>2.9000000000000001E-2</v>
      </c>
      <c r="M7" s="469">
        <v>2E-3</v>
      </c>
      <c r="N7" s="181"/>
      <c r="R7" s="147"/>
      <c r="S7" s="164"/>
      <c r="T7" s="146"/>
    </row>
    <row r="8" spans="1:20" x14ac:dyDescent="0.25">
      <c r="A8" s="165">
        <v>1</v>
      </c>
      <c r="B8" s="165">
        <v>2</v>
      </c>
      <c r="C8" s="165">
        <v>3</v>
      </c>
      <c r="D8" s="165">
        <v>4</v>
      </c>
      <c r="E8" s="165">
        <v>5</v>
      </c>
      <c r="F8" s="732">
        <v>6</v>
      </c>
      <c r="G8" s="165">
        <v>7</v>
      </c>
      <c r="I8" s="470" t="s">
        <v>391</v>
      </c>
      <c r="J8" s="471">
        <f>ROUND(1292000/1000,1)</f>
        <v>1292</v>
      </c>
      <c r="K8" s="472">
        <f>G9</f>
        <v>2381.8000000000002</v>
      </c>
      <c r="L8" s="472">
        <f>ROUND(912000/1000,1)</f>
        <v>912</v>
      </c>
      <c r="M8" s="472">
        <f>G9</f>
        <v>2381.8000000000002</v>
      </c>
      <c r="N8" s="181"/>
      <c r="R8" s="148"/>
      <c r="S8" s="149"/>
      <c r="T8" s="146"/>
    </row>
    <row r="9" spans="1:20" ht="24" x14ac:dyDescent="0.25">
      <c r="A9" s="166">
        <v>1</v>
      </c>
      <c r="B9" s="464" t="s">
        <v>565</v>
      </c>
      <c r="C9" s="193">
        <v>211</v>
      </c>
      <c r="D9" s="193"/>
      <c r="E9" s="193">
        <v>1</v>
      </c>
      <c r="F9" s="978">
        <f>2365199.1+16593.53</f>
        <v>2381792.63</v>
      </c>
      <c r="G9" s="979">
        <f>ROUND(F9/1000,1)</f>
        <v>2381.8000000000002</v>
      </c>
      <c r="H9" s="520"/>
      <c r="I9" s="476" t="s">
        <v>564</v>
      </c>
      <c r="J9" s="473">
        <f>ROUND(J8*J7,1)</f>
        <v>284.2</v>
      </c>
      <c r="K9" s="473">
        <f>ROUND(K8*K7,1)</f>
        <v>121.5</v>
      </c>
      <c r="L9" s="473">
        <f>ROUND(L8*L7,1)</f>
        <v>26.4</v>
      </c>
      <c r="M9" s="473">
        <f>ROUND(M8*M7,1)</f>
        <v>4.8</v>
      </c>
      <c r="N9" s="698">
        <f>SUM(J9:M9)+0.2</f>
        <v>437.09999999999997</v>
      </c>
      <c r="R9" s="146"/>
      <c r="S9" s="146"/>
      <c r="T9" s="146"/>
    </row>
    <row r="10" spans="1:20" ht="24.75" customHeight="1" x14ac:dyDescent="0.25">
      <c r="A10" s="166">
        <v>2</v>
      </c>
      <c r="B10" s="175" t="s">
        <v>887</v>
      </c>
      <c r="C10" s="170">
        <v>211</v>
      </c>
      <c r="D10" s="170">
        <v>211</v>
      </c>
      <c r="E10" s="170">
        <v>1</v>
      </c>
      <c r="F10" s="943">
        <v>267524.77</v>
      </c>
      <c r="G10" s="282">
        <f>ROUND(267524.77/1000,1)+0.1</f>
        <v>267.60000000000002</v>
      </c>
      <c r="J10" s="466" t="s">
        <v>386</v>
      </c>
      <c r="K10" s="466" t="s">
        <v>387</v>
      </c>
      <c r="L10" s="467" t="s">
        <v>388</v>
      </c>
      <c r="M10" s="466" t="s">
        <v>563</v>
      </c>
      <c r="N10" s="181"/>
      <c r="R10" s="146"/>
      <c r="S10" s="146"/>
      <c r="T10" s="146"/>
    </row>
    <row r="11" spans="1:20" ht="24.75" customHeight="1" x14ac:dyDescent="0.25">
      <c r="A11" s="166">
        <v>3</v>
      </c>
      <c r="B11" s="175" t="s">
        <v>920</v>
      </c>
      <c r="C11" s="170">
        <v>211</v>
      </c>
      <c r="D11" s="170">
        <v>211</v>
      </c>
      <c r="E11" s="170">
        <v>1</v>
      </c>
      <c r="F11" s="943">
        <v>9896.5400000000009</v>
      </c>
      <c r="G11" s="282">
        <f>ROUND(9896.54/1000,1)</f>
        <v>9.9</v>
      </c>
      <c r="I11" s="468"/>
      <c r="J11" s="469">
        <v>0.1</v>
      </c>
      <c r="K11" s="474" t="s">
        <v>393</v>
      </c>
      <c r="L11" s="469">
        <v>0</v>
      </c>
      <c r="M11" s="474" t="s">
        <v>393</v>
      </c>
      <c r="N11" s="181"/>
      <c r="R11" s="146"/>
      <c r="S11" s="146"/>
      <c r="T11" s="146"/>
    </row>
    <row r="12" spans="1:20" ht="24.75" customHeight="1" x14ac:dyDescent="0.25">
      <c r="A12" s="1146" t="s">
        <v>392</v>
      </c>
      <c r="B12" s="1147"/>
      <c r="C12" s="1147"/>
      <c r="D12" s="1147"/>
      <c r="E12" s="1147"/>
      <c r="F12" s="273">
        <f>SUM(F9:F11)</f>
        <v>2659213.94</v>
      </c>
      <c r="G12" s="284">
        <f>SUM(G9:G11)</f>
        <v>2659.3</v>
      </c>
      <c r="I12" s="470" t="s">
        <v>421</v>
      </c>
      <c r="J12" s="472">
        <f>ROUND(G9-J8,1)</f>
        <v>1089.8</v>
      </c>
      <c r="K12" s="472"/>
      <c r="L12" s="472"/>
      <c r="M12" s="472"/>
      <c r="N12" s="181"/>
      <c r="R12" s="146"/>
      <c r="S12" s="146"/>
      <c r="T12" s="146"/>
    </row>
    <row r="13" spans="1:20" x14ac:dyDescent="0.25">
      <c r="H13" s="150"/>
      <c r="I13" s="476" t="s">
        <v>564</v>
      </c>
      <c r="J13" s="475">
        <f>ROUND(J12*J11,1)</f>
        <v>109</v>
      </c>
      <c r="K13" s="475"/>
      <c r="L13" s="475"/>
      <c r="M13" s="475"/>
      <c r="N13" s="489">
        <f>SUM(J13:M13)</f>
        <v>109</v>
      </c>
      <c r="R13" s="146"/>
      <c r="S13" s="146"/>
      <c r="T13" s="146"/>
    </row>
    <row r="14" spans="1:20" x14ac:dyDescent="0.25">
      <c r="I14" s="1154" t="s">
        <v>575</v>
      </c>
      <c r="J14" s="1154"/>
      <c r="K14" s="1154"/>
      <c r="L14" s="1154"/>
      <c r="M14" s="1154"/>
      <c r="N14" s="488">
        <f>N9+N13</f>
        <v>546.09999999999991</v>
      </c>
      <c r="R14" s="148"/>
      <c r="S14" s="146"/>
      <c r="T14" s="146"/>
    </row>
    <row r="15" spans="1:20" x14ac:dyDescent="0.25">
      <c r="A15" s="158"/>
      <c r="B15" s="158"/>
      <c r="C15" s="158"/>
      <c r="D15" s="158"/>
      <c r="E15" s="158"/>
      <c r="F15" s="158"/>
      <c r="G15" s="150"/>
      <c r="H15" s="158"/>
      <c r="R15" s="146"/>
      <c r="S15" s="146"/>
      <c r="T15" s="146"/>
    </row>
    <row r="16" spans="1:20" x14ac:dyDescent="0.25">
      <c r="A16" s="167"/>
      <c r="B16" s="167"/>
      <c r="C16" s="167"/>
      <c r="D16" s="167"/>
      <c r="E16" s="167"/>
      <c r="F16" s="167"/>
      <c r="G16" s="167"/>
      <c r="H16" s="151"/>
      <c r="I16" s="1152" t="s">
        <v>785</v>
      </c>
      <c r="J16" s="699">
        <f>1292000*22%</f>
        <v>284240</v>
      </c>
      <c r="K16" s="699">
        <f>2365199.1*5.1%</f>
        <v>120625.1541</v>
      </c>
      <c r="L16" s="699">
        <f>912000*2.9%</f>
        <v>26447.999999999996</v>
      </c>
      <c r="M16" s="700">
        <f>2365199.1*0.2%</f>
        <v>4730.3982000000005</v>
      </c>
      <c r="R16" s="146"/>
      <c r="S16" s="146"/>
      <c r="T16" s="146"/>
    </row>
    <row r="17" spans="1:20" x14ac:dyDescent="0.25">
      <c r="A17" s="1145" t="s">
        <v>394</v>
      </c>
      <c r="B17" s="1145"/>
      <c r="C17" s="1145"/>
      <c r="D17" s="1145"/>
      <c r="E17" s="1145"/>
      <c r="F17" s="1145"/>
      <c r="G17" s="1145"/>
      <c r="H17" s="158"/>
      <c r="I17" s="1153"/>
      <c r="J17" s="701">
        <f>1073199.1*10%</f>
        <v>107319.91000000002</v>
      </c>
      <c r="K17" s="702"/>
      <c r="L17" s="702"/>
      <c r="M17" s="703"/>
      <c r="R17" s="146"/>
      <c r="S17" s="146"/>
      <c r="T17" s="146"/>
    </row>
    <row r="18" spans="1:20" ht="24" x14ac:dyDescent="0.25">
      <c r="A18" s="163" t="s">
        <v>258</v>
      </c>
      <c r="B18" s="195" t="s">
        <v>492</v>
      </c>
      <c r="C18" s="161" t="s">
        <v>343</v>
      </c>
      <c r="D18" s="162" t="s">
        <v>389</v>
      </c>
      <c r="E18" s="178" t="s">
        <v>417</v>
      </c>
      <c r="F18" s="928" t="s">
        <v>889</v>
      </c>
      <c r="G18" s="927" t="s">
        <v>890</v>
      </c>
    </row>
    <row r="19" spans="1:20" x14ac:dyDescent="0.25">
      <c r="A19" s="171">
        <v>1</v>
      </c>
      <c r="B19" s="171">
        <v>2</v>
      </c>
      <c r="C19" s="171">
        <v>3</v>
      </c>
      <c r="D19" s="171">
        <v>4</v>
      </c>
      <c r="E19" s="171">
        <v>5</v>
      </c>
      <c r="F19" s="730">
        <v>6</v>
      </c>
      <c r="G19" s="171">
        <v>7</v>
      </c>
    </row>
    <row r="20" spans="1:20" ht="27.75" customHeight="1" x14ac:dyDescent="0.25">
      <c r="A20" s="173">
        <v>1</v>
      </c>
      <c r="B20" s="477" t="s">
        <v>576</v>
      </c>
      <c r="C20" s="259">
        <v>213</v>
      </c>
      <c r="D20" s="259"/>
      <c r="E20" s="259">
        <v>1</v>
      </c>
      <c r="F20" s="978">
        <f>543363.46+24732.06+100</f>
        <v>568195.52</v>
      </c>
      <c r="G20" s="979">
        <f>ROUND(F20/1000,1)</f>
        <v>568.20000000000005</v>
      </c>
      <c r="H20" s="520"/>
    </row>
    <row r="21" spans="1:20" ht="27.75" customHeight="1" x14ac:dyDescent="0.25">
      <c r="A21" s="173">
        <v>2</v>
      </c>
      <c r="B21" s="477" t="s">
        <v>888</v>
      </c>
      <c r="C21" s="762">
        <v>213</v>
      </c>
      <c r="D21" s="762"/>
      <c r="E21" s="762">
        <v>1</v>
      </c>
      <c r="F21" s="943">
        <v>83781.240000000005</v>
      </c>
      <c r="G21" s="283">
        <f>ROUND(83781.24/1000,1)</f>
        <v>83.8</v>
      </c>
    </row>
    <row r="22" spans="1:20" x14ac:dyDescent="0.25">
      <c r="A22" s="1157" t="s">
        <v>396</v>
      </c>
      <c r="B22" s="1158"/>
      <c r="C22" s="1158"/>
      <c r="D22" s="1158"/>
      <c r="E22" s="1158"/>
      <c r="F22" s="273">
        <f>SUM(F20:F21)</f>
        <v>651976.76</v>
      </c>
      <c r="G22" s="275">
        <f>SUM(G20:G21)</f>
        <v>652</v>
      </c>
    </row>
    <row r="25" spans="1:20" x14ac:dyDescent="0.25">
      <c r="A25" s="1155" t="s">
        <v>477</v>
      </c>
      <c r="B25" s="1155"/>
      <c r="C25" s="1155"/>
      <c r="D25" s="1155"/>
      <c r="E25" s="1155"/>
      <c r="F25" s="1155"/>
      <c r="G25" s="1155"/>
      <c r="H25" s="1155"/>
      <c r="I25" s="1155"/>
      <c r="J25" s="725"/>
    </row>
    <row r="26" spans="1:20" ht="39.75" customHeight="1" x14ac:dyDescent="0.25">
      <c r="A26" s="710" t="s">
        <v>258</v>
      </c>
      <c r="B26" s="707" t="s">
        <v>492</v>
      </c>
      <c r="C26" s="711" t="s">
        <v>343</v>
      </c>
      <c r="D26" s="710" t="s">
        <v>389</v>
      </c>
      <c r="E26" s="710" t="s">
        <v>411</v>
      </c>
      <c r="F26" s="727" t="s">
        <v>479</v>
      </c>
      <c r="G26" s="710" t="s">
        <v>480</v>
      </c>
      <c r="H26" s="254" t="s">
        <v>467</v>
      </c>
      <c r="I26" s="710" t="s">
        <v>402</v>
      </c>
      <c r="J26" s="151"/>
    </row>
    <row r="27" spans="1:20" x14ac:dyDescent="0.25">
      <c r="A27" s="708">
        <v>1</v>
      </c>
      <c r="B27" s="708">
        <v>2</v>
      </c>
      <c r="C27" s="708">
        <v>3</v>
      </c>
      <c r="D27" s="708">
        <v>4</v>
      </c>
      <c r="E27" s="708">
        <v>5</v>
      </c>
      <c r="F27" s="728">
        <v>6</v>
      </c>
      <c r="G27" s="708">
        <v>7</v>
      </c>
      <c r="H27" s="173">
        <v>8</v>
      </c>
      <c r="I27" s="708">
        <v>9</v>
      </c>
      <c r="J27" s="151"/>
    </row>
    <row r="28" spans="1:20" ht="60" customHeight="1" x14ac:dyDescent="0.25">
      <c r="A28" s="708">
        <v>1</v>
      </c>
      <c r="B28" s="712" t="s">
        <v>478</v>
      </c>
      <c r="C28" s="707">
        <v>266</v>
      </c>
      <c r="D28" s="233"/>
      <c r="E28" s="707">
        <v>1</v>
      </c>
      <c r="F28" s="729">
        <v>9000</v>
      </c>
      <c r="G28" s="710">
        <v>3</v>
      </c>
      <c r="H28" s="265">
        <f>E28*F28*G28-27000</f>
        <v>0</v>
      </c>
      <c r="I28" s="247">
        <f>ROUND(H28/1000,1)</f>
        <v>0</v>
      </c>
      <c r="K28" s="1042">
        <v>27</v>
      </c>
      <c r="L28" s="508" t="s">
        <v>945</v>
      </c>
    </row>
    <row r="29" spans="1:20" x14ac:dyDescent="0.25">
      <c r="A29" s="1156" t="s">
        <v>481</v>
      </c>
      <c r="B29" s="1156"/>
      <c r="C29" s="1156"/>
      <c r="D29" s="1156"/>
      <c r="E29" s="1156"/>
      <c r="F29" s="1156"/>
      <c r="G29" s="1156"/>
      <c r="H29" s="273">
        <f>H28</f>
        <v>0</v>
      </c>
      <c r="I29" s="257">
        <f>I28</f>
        <v>0</v>
      </c>
    </row>
    <row r="32" spans="1:20" x14ac:dyDescent="0.25">
      <c r="A32" s="1150" t="s">
        <v>397</v>
      </c>
      <c r="B32" s="1150"/>
      <c r="C32" s="168"/>
      <c r="D32" s="1151"/>
      <c r="E32" s="1151"/>
      <c r="G32" s="1151" t="s">
        <v>880</v>
      </c>
      <c r="H32" s="1151"/>
    </row>
    <row r="33" spans="1:8" x14ac:dyDescent="0.25">
      <c r="A33" s="1148" t="s">
        <v>329</v>
      </c>
      <c r="B33" s="1148"/>
      <c r="C33" s="169"/>
      <c r="D33" s="1149" t="s">
        <v>330</v>
      </c>
      <c r="E33" s="1149"/>
      <c r="G33" s="1149" t="s">
        <v>331</v>
      </c>
      <c r="H33" s="1149"/>
    </row>
    <row r="34" spans="1:8" x14ac:dyDescent="0.25">
      <c r="A34" s="1150" t="s">
        <v>398</v>
      </c>
      <c r="B34" s="1150"/>
      <c r="C34" s="168"/>
      <c r="D34" s="1151"/>
      <c r="E34" s="1151"/>
      <c r="G34" s="1151" t="s">
        <v>325</v>
      </c>
      <c r="H34" s="1151"/>
    </row>
    <row r="35" spans="1:8" x14ac:dyDescent="0.25">
      <c r="A35" s="1148" t="s">
        <v>329</v>
      </c>
      <c r="B35" s="1148"/>
      <c r="C35" s="169"/>
      <c r="D35" s="1149" t="s">
        <v>330</v>
      </c>
      <c r="E35" s="1149"/>
      <c r="G35" s="1149" t="s">
        <v>331</v>
      </c>
      <c r="H35" s="1149"/>
    </row>
    <row r="45" spans="1:8" x14ac:dyDescent="0.25">
      <c r="F45" s="168"/>
    </row>
    <row r="46" spans="1:8" x14ac:dyDescent="0.25">
      <c r="F46" s="169"/>
    </row>
    <row r="47" spans="1:8" x14ac:dyDescent="0.25">
      <c r="F47" s="168"/>
    </row>
    <row r="48" spans="1:8" x14ac:dyDescent="0.25">
      <c r="F48" s="169"/>
    </row>
    <row r="49" spans="2:16" x14ac:dyDescent="0.25">
      <c r="H49" s="152"/>
    </row>
    <row r="50" spans="2:16" x14ac:dyDescent="0.25">
      <c r="P50" s="153"/>
    </row>
    <row r="51" spans="2:16" x14ac:dyDescent="0.25">
      <c r="B51" s="280"/>
    </row>
    <row r="52" spans="2:16" x14ac:dyDescent="0.25">
      <c r="B52" s="280"/>
    </row>
  </sheetData>
  <mergeCells count="23">
    <mergeCell ref="I16:I17"/>
    <mergeCell ref="I14:M14"/>
    <mergeCell ref="A34:B34"/>
    <mergeCell ref="D34:E34"/>
    <mergeCell ref="G34:H34"/>
    <mergeCell ref="A25:I25"/>
    <mergeCell ref="A29:G29"/>
    <mergeCell ref="A22:E22"/>
    <mergeCell ref="A17:G17"/>
    <mergeCell ref="A35:B35"/>
    <mergeCell ref="D35:E35"/>
    <mergeCell ref="G35:H35"/>
    <mergeCell ref="A32:B32"/>
    <mergeCell ref="D32:E32"/>
    <mergeCell ref="G32:H32"/>
    <mergeCell ref="A33:B33"/>
    <mergeCell ref="D33:E33"/>
    <mergeCell ref="G33:H33"/>
    <mergeCell ref="A1:G1"/>
    <mergeCell ref="A3:G3"/>
    <mergeCell ref="A4:G4"/>
    <mergeCell ref="A6:G6"/>
    <mergeCell ref="A12:E1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67"/>
  <sheetViews>
    <sheetView showZeros="0" topLeftCell="A46" workbookViewId="0">
      <selection activeCell="I38" sqref="I38"/>
    </sheetView>
  </sheetViews>
  <sheetFormatPr defaultRowHeight="15" x14ac:dyDescent="0.25"/>
  <cols>
    <col min="1" max="1" width="49.42578125" style="789" customWidth="1"/>
    <col min="2" max="3" width="3.5703125" style="789" customWidth="1"/>
    <col min="4" max="4" width="11.42578125" style="789" customWidth="1"/>
    <col min="5" max="7" width="5.7109375" style="789" customWidth="1"/>
    <col min="8" max="8" width="9" style="789" customWidth="1"/>
    <col min="9" max="9" width="18.7109375" style="638" customWidth="1"/>
    <col min="10" max="254" width="9.140625" style="789"/>
    <col min="255" max="255" width="49.42578125" style="789" customWidth="1"/>
    <col min="256" max="257" width="3.5703125" style="789" customWidth="1"/>
    <col min="258" max="258" width="11.42578125" style="789" customWidth="1"/>
    <col min="259" max="261" width="5.7109375" style="789" customWidth="1"/>
    <col min="262" max="262" width="9" style="789" customWidth="1"/>
    <col min="263" max="263" width="18.7109375" style="789" customWidth="1"/>
    <col min="264" max="510" width="9.140625" style="789"/>
    <col min="511" max="511" width="49.42578125" style="789" customWidth="1"/>
    <col min="512" max="513" width="3.5703125" style="789" customWidth="1"/>
    <col min="514" max="514" width="11.42578125" style="789" customWidth="1"/>
    <col min="515" max="517" width="5.7109375" style="789" customWidth="1"/>
    <col min="518" max="518" width="9" style="789" customWidth="1"/>
    <col min="519" max="519" width="18.7109375" style="789" customWidth="1"/>
    <col min="520" max="766" width="9.140625" style="789"/>
    <col min="767" max="767" width="49.42578125" style="789" customWidth="1"/>
    <col min="768" max="769" width="3.5703125" style="789" customWidth="1"/>
    <col min="770" max="770" width="11.42578125" style="789" customWidth="1"/>
    <col min="771" max="773" width="5.7109375" style="789" customWidth="1"/>
    <col min="774" max="774" width="9" style="789" customWidth="1"/>
    <col min="775" max="775" width="18.7109375" style="789" customWidth="1"/>
    <col min="776" max="1022" width="9.140625" style="789"/>
    <col min="1023" max="1023" width="49.42578125" style="789" customWidth="1"/>
    <col min="1024" max="1025" width="3.5703125" style="789" customWidth="1"/>
    <col min="1026" max="1026" width="11.42578125" style="789" customWidth="1"/>
    <col min="1027" max="1029" width="5.7109375" style="789" customWidth="1"/>
    <col min="1030" max="1030" width="9" style="789" customWidth="1"/>
    <col min="1031" max="1031" width="18.7109375" style="789" customWidth="1"/>
    <col min="1032" max="1278" width="9.140625" style="789"/>
    <col min="1279" max="1279" width="49.42578125" style="789" customWidth="1"/>
    <col min="1280" max="1281" width="3.5703125" style="789" customWidth="1"/>
    <col min="1282" max="1282" width="11.42578125" style="789" customWidth="1"/>
    <col min="1283" max="1285" width="5.7109375" style="789" customWidth="1"/>
    <col min="1286" max="1286" width="9" style="789" customWidth="1"/>
    <col min="1287" max="1287" width="18.7109375" style="789" customWidth="1"/>
    <col min="1288" max="1534" width="9.140625" style="789"/>
    <col min="1535" max="1535" width="49.42578125" style="789" customWidth="1"/>
    <col min="1536" max="1537" width="3.5703125" style="789" customWidth="1"/>
    <col min="1538" max="1538" width="11.42578125" style="789" customWidth="1"/>
    <col min="1539" max="1541" width="5.7109375" style="789" customWidth="1"/>
    <col min="1542" max="1542" width="9" style="789" customWidth="1"/>
    <col min="1543" max="1543" width="18.7109375" style="789" customWidth="1"/>
    <col min="1544" max="1790" width="9.140625" style="789"/>
    <col min="1791" max="1791" width="49.42578125" style="789" customWidth="1"/>
    <col min="1792" max="1793" width="3.5703125" style="789" customWidth="1"/>
    <col min="1794" max="1794" width="11.42578125" style="789" customWidth="1"/>
    <col min="1795" max="1797" width="5.7109375" style="789" customWidth="1"/>
    <col min="1798" max="1798" width="9" style="789" customWidth="1"/>
    <col min="1799" max="1799" width="18.7109375" style="789" customWidth="1"/>
    <col min="1800" max="2046" width="9.140625" style="789"/>
    <col min="2047" max="2047" width="49.42578125" style="789" customWidth="1"/>
    <col min="2048" max="2049" width="3.5703125" style="789" customWidth="1"/>
    <col min="2050" max="2050" width="11.42578125" style="789" customWidth="1"/>
    <col min="2051" max="2053" width="5.7109375" style="789" customWidth="1"/>
    <col min="2054" max="2054" width="9" style="789" customWidth="1"/>
    <col min="2055" max="2055" width="18.7109375" style="789" customWidth="1"/>
    <col min="2056" max="2302" width="9.140625" style="789"/>
    <col min="2303" max="2303" width="49.42578125" style="789" customWidth="1"/>
    <col min="2304" max="2305" width="3.5703125" style="789" customWidth="1"/>
    <col min="2306" max="2306" width="11.42578125" style="789" customWidth="1"/>
    <col min="2307" max="2309" width="5.7109375" style="789" customWidth="1"/>
    <col min="2310" max="2310" width="9" style="789" customWidth="1"/>
    <col min="2311" max="2311" width="18.7109375" style="789" customWidth="1"/>
    <col min="2312" max="2558" width="9.140625" style="789"/>
    <col min="2559" max="2559" width="49.42578125" style="789" customWidth="1"/>
    <col min="2560" max="2561" width="3.5703125" style="789" customWidth="1"/>
    <col min="2562" max="2562" width="11.42578125" style="789" customWidth="1"/>
    <col min="2563" max="2565" width="5.7109375" style="789" customWidth="1"/>
    <col min="2566" max="2566" width="9" style="789" customWidth="1"/>
    <col min="2567" max="2567" width="18.7109375" style="789" customWidth="1"/>
    <col min="2568" max="2814" width="9.140625" style="789"/>
    <col min="2815" max="2815" width="49.42578125" style="789" customWidth="1"/>
    <col min="2816" max="2817" width="3.5703125" style="789" customWidth="1"/>
    <col min="2818" max="2818" width="11.42578125" style="789" customWidth="1"/>
    <col min="2819" max="2821" width="5.7109375" style="789" customWidth="1"/>
    <col min="2822" max="2822" width="9" style="789" customWidth="1"/>
    <col min="2823" max="2823" width="18.7109375" style="789" customWidth="1"/>
    <col min="2824" max="3070" width="9.140625" style="789"/>
    <col min="3071" max="3071" width="49.42578125" style="789" customWidth="1"/>
    <col min="3072" max="3073" width="3.5703125" style="789" customWidth="1"/>
    <col min="3074" max="3074" width="11.42578125" style="789" customWidth="1"/>
    <col min="3075" max="3077" width="5.7109375" style="789" customWidth="1"/>
    <col min="3078" max="3078" width="9" style="789" customWidth="1"/>
    <col min="3079" max="3079" width="18.7109375" style="789" customWidth="1"/>
    <col min="3080" max="3326" width="9.140625" style="789"/>
    <col min="3327" max="3327" width="49.42578125" style="789" customWidth="1"/>
    <col min="3328" max="3329" width="3.5703125" style="789" customWidth="1"/>
    <col min="3330" max="3330" width="11.42578125" style="789" customWidth="1"/>
    <col min="3331" max="3333" width="5.7109375" style="789" customWidth="1"/>
    <col min="3334" max="3334" width="9" style="789" customWidth="1"/>
    <col min="3335" max="3335" width="18.7109375" style="789" customWidth="1"/>
    <col min="3336" max="3582" width="9.140625" style="789"/>
    <col min="3583" max="3583" width="49.42578125" style="789" customWidth="1"/>
    <col min="3584" max="3585" width="3.5703125" style="789" customWidth="1"/>
    <col min="3586" max="3586" width="11.42578125" style="789" customWidth="1"/>
    <col min="3587" max="3589" width="5.7109375" style="789" customWidth="1"/>
    <col min="3590" max="3590" width="9" style="789" customWidth="1"/>
    <col min="3591" max="3591" width="18.7109375" style="789" customWidth="1"/>
    <col min="3592" max="3838" width="9.140625" style="789"/>
    <col min="3839" max="3839" width="49.42578125" style="789" customWidth="1"/>
    <col min="3840" max="3841" width="3.5703125" style="789" customWidth="1"/>
    <col min="3842" max="3842" width="11.42578125" style="789" customWidth="1"/>
    <col min="3843" max="3845" width="5.7109375" style="789" customWidth="1"/>
    <col min="3846" max="3846" width="9" style="789" customWidth="1"/>
    <col min="3847" max="3847" width="18.7109375" style="789" customWidth="1"/>
    <col min="3848" max="4094" width="9.140625" style="789"/>
    <col min="4095" max="4095" width="49.42578125" style="789" customWidth="1"/>
    <col min="4096" max="4097" width="3.5703125" style="789" customWidth="1"/>
    <col min="4098" max="4098" width="11.42578125" style="789" customWidth="1"/>
    <col min="4099" max="4101" width="5.7109375" style="789" customWidth="1"/>
    <col min="4102" max="4102" width="9" style="789" customWidth="1"/>
    <col min="4103" max="4103" width="18.7109375" style="789" customWidth="1"/>
    <col min="4104" max="4350" width="9.140625" style="789"/>
    <col min="4351" max="4351" width="49.42578125" style="789" customWidth="1"/>
    <col min="4352" max="4353" width="3.5703125" style="789" customWidth="1"/>
    <col min="4354" max="4354" width="11.42578125" style="789" customWidth="1"/>
    <col min="4355" max="4357" width="5.7109375" style="789" customWidth="1"/>
    <col min="4358" max="4358" width="9" style="789" customWidth="1"/>
    <col min="4359" max="4359" width="18.7109375" style="789" customWidth="1"/>
    <col min="4360" max="4606" width="9.140625" style="789"/>
    <col min="4607" max="4607" width="49.42578125" style="789" customWidth="1"/>
    <col min="4608" max="4609" width="3.5703125" style="789" customWidth="1"/>
    <col min="4610" max="4610" width="11.42578125" style="789" customWidth="1"/>
    <col min="4611" max="4613" width="5.7109375" style="789" customWidth="1"/>
    <col min="4614" max="4614" width="9" style="789" customWidth="1"/>
    <col min="4615" max="4615" width="18.7109375" style="789" customWidth="1"/>
    <col min="4616" max="4862" width="9.140625" style="789"/>
    <col min="4863" max="4863" width="49.42578125" style="789" customWidth="1"/>
    <col min="4864" max="4865" width="3.5703125" style="789" customWidth="1"/>
    <col min="4866" max="4866" width="11.42578125" style="789" customWidth="1"/>
    <col min="4867" max="4869" width="5.7109375" style="789" customWidth="1"/>
    <col min="4870" max="4870" width="9" style="789" customWidth="1"/>
    <col min="4871" max="4871" width="18.7109375" style="789" customWidth="1"/>
    <col min="4872" max="5118" width="9.140625" style="789"/>
    <col min="5119" max="5119" width="49.42578125" style="789" customWidth="1"/>
    <col min="5120" max="5121" width="3.5703125" style="789" customWidth="1"/>
    <col min="5122" max="5122" width="11.42578125" style="789" customWidth="1"/>
    <col min="5123" max="5125" width="5.7109375" style="789" customWidth="1"/>
    <col min="5126" max="5126" width="9" style="789" customWidth="1"/>
    <col min="5127" max="5127" width="18.7109375" style="789" customWidth="1"/>
    <col min="5128" max="5374" width="9.140625" style="789"/>
    <col min="5375" max="5375" width="49.42578125" style="789" customWidth="1"/>
    <col min="5376" max="5377" width="3.5703125" style="789" customWidth="1"/>
    <col min="5378" max="5378" width="11.42578125" style="789" customWidth="1"/>
    <col min="5379" max="5381" width="5.7109375" style="789" customWidth="1"/>
    <col min="5382" max="5382" width="9" style="789" customWidth="1"/>
    <col min="5383" max="5383" width="18.7109375" style="789" customWidth="1"/>
    <col min="5384" max="5630" width="9.140625" style="789"/>
    <col min="5631" max="5631" width="49.42578125" style="789" customWidth="1"/>
    <col min="5632" max="5633" width="3.5703125" style="789" customWidth="1"/>
    <col min="5634" max="5634" width="11.42578125" style="789" customWidth="1"/>
    <col min="5635" max="5637" width="5.7109375" style="789" customWidth="1"/>
    <col min="5638" max="5638" width="9" style="789" customWidth="1"/>
    <col min="5639" max="5639" width="18.7109375" style="789" customWidth="1"/>
    <col min="5640" max="5886" width="9.140625" style="789"/>
    <col min="5887" max="5887" width="49.42578125" style="789" customWidth="1"/>
    <col min="5888" max="5889" width="3.5703125" style="789" customWidth="1"/>
    <col min="5890" max="5890" width="11.42578125" style="789" customWidth="1"/>
    <col min="5891" max="5893" width="5.7109375" style="789" customWidth="1"/>
    <col min="5894" max="5894" width="9" style="789" customWidth="1"/>
    <col min="5895" max="5895" width="18.7109375" style="789" customWidth="1"/>
    <col min="5896" max="6142" width="9.140625" style="789"/>
    <col min="6143" max="6143" width="49.42578125" style="789" customWidth="1"/>
    <col min="6144" max="6145" width="3.5703125" style="789" customWidth="1"/>
    <col min="6146" max="6146" width="11.42578125" style="789" customWidth="1"/>
    <col min="6147" max="6149" width="5.7109375" style="789" customWidth="1"/>
    <col min="6150" max="6150" width="9" style="789" customWidth="1"/>
    <col min="6151" max="6151" width="18.7109375" style="789" customWidth="1"/>
    <col min="6152" max="6398" width="9.140625" style="789"/>
    <col min="6399" max="6399" width="49.42578125" style="789" customWidth="1"/>
    <col min="6400" max="6401" width="3.5703125" style="789" customWidth="1"/>
    <col min="6402" max="6402" width="11.42578125" style="789" customWidth="1"/>
    <col min="6403" max="6405" width="5.7109375" style="789" customWidth="1"/>
    <col min="6406" max="6406" width="9" style="789" customWidth="1"/>
    <col min="6407" max="6407" width="18.7109375" style="789" customWidth="1"/>
    <col min="6408" max="6654" width="9.140625" style="789"/>
    <col min="6655" max="6655" width="49.42578125" style="789" customWidth="1"/>
    <col min="6656" max="6657" width="3.5703125" style="789" customWidth="1"/>
    <col min="6658" max="6658" width="11.42578125" style="789" customWidth="1"/>
    <col min="6659" max="6661" width="5.7109375" style="789" customWidth="1"/>
    <col min="6662" max="6662" width="9" style="789" customWidth="1"/>
    <col min="6663" max="6663" width="18.7109375" style="789" customWidth="1"/>
    <col min="6664" max="6910" width="9.140625" style="789"/>
    <col min="6911" max="6911" width="49.42578125" style="789" customWidth="1"/>
    <col min="6912" max="6913" width="3.5703125" style="789" customWidth="1"/>
    <col min="6914" max="6914" width="11.42578125" style="789" customWidth="1"/>
    <col min="6915" max="6917" width="5.7109375" style="789" customWidth="1"/>
    <col min="6918" max="6918" width="9" style="789" customWidth="1"/>
    <col min="6919" max="6919" width="18.7109375" style="789" customWidth="1"/>
    <col min="6920" max="7166" width="9.140625" style="789"/>
    <col min="7167" max="7167" width="49.42578125" style="789" customWidth="1"/>
    <col min="7168" max="7169" width="3.5703125" style="789" customWidth="1"/>
    <col min="7170" max="7170" width="11.42578125" style="789" customWidth="1"/>
    <col min="7171" max="7173" width="5.7109375" style="789" customWidth="1"/>
    <col min="7174" max="7174" width="9" style="789" customWidth="1"/>
    <col min="7175" max="7175" width="18.7109375" style="789" customWidth="1"/>
    <col min="7176" max="7422" width="9.140625" style="789"/>
    <col min="7423" max="7423" width="49.42578125" style="789" customWidth="1"/>
    <col min="7424" max="7425" width="3.5703125" style="789" customWidth="1"/>
    <col min="7426" max="7426" width="11.42578125" style="789" customWidth="1"/>
    <col min="7427" max="7429" width="5.7109375" style="789" customWidth="1"/>
    <col min="7430" max="7430" width="9" style="789" customWidth="1"/>
    <col min="7431" max="7431" width="18.7109375" style="789" customWidth="1"/>
    <col min="7432" max="7678" width="9.140625" style="789"/>
    <col min="7679" max="7679" width="49.42578125" style="789" customWidth="1"/>
    <col min="7680" max="7681" width="3.5703125" style="789" customWidth="1"/>
    <col min="7682" max="7682" width="11.42578125" style="789" customWidth="1"/>
    <col min="7683" max="7685" width="5.7109375" style="789" customWidth="1"/>
    <col min="7686" max="7686" width="9" style="789" customWidth="1"/>
    <col min="7687" max="7687" width="18.7109375" style="789" customWidth="1"/>
    <col min="7688" max="7934" width="9.140625" style="789"/>
    <col min="7935" max="7935" width="49.42578125" style="789" customWidth="1"/>
    <col min="7936" max="7937" width="3.5703125" style="789" customWidth="1"/>
    <col min="7938" max="7938" width="11.42578125" style="789" customWidth="1"/>
    <col min="7939" max="7941" width="5.7109375" style="789" customWidth="1"/>
    <col min="7942" max="7942" width="9" style="789" customWidth="1"/>
    <col min="7943" max="7943" width="18.7109375" style="789" customWidth="1"/>
    <col min="7944" max="8190" width="9.140625" style="789"/>
    <col min="8191" max="8191" width="49.42578125" style="789" customWidth="1"/>
    <col min="8192" max="8193" width="3.5703125" style="789" customWidth="1"/>
    <col min="8194" max="8194" width="11.42578125" style="789" customWidth="1"/>
    <col min="8195" max="8197" width="5.7109375" style="789" customWidth="1"/>
    <col min="8198" max="8198" width="9" style="789" customWidth="1"/>
    <col min="8199" max="8199" width="18.7109375" style="789" customWidth="1"/>
    <col min="8200" max="8446" width="9.140625" style="789"/>
    <col min="8447" max="8447" width="49.42578125" style="789" customWidth="1"/>
    <col min="8448" max="8449" width="3.5703125" style="789" customWidth="1"/>
    <col min="8450" max="8450" width="11.42578125" style="789" customWidth="1"/>
    <col min="8451" max="8453" width="5.7109375" style="789" customWidth="1"/>
    <col min="8454" max="8454" width="9" style="789" customWidth="1"/>
    <col min="8455" max="8455" width="18.7109375" style="789" customWidth="1"/>
    <col min="8456" max="8702" width="9.140625" style="789"/>
    <col min="8703" max="8703" width="49.42578125" style="789" customWidth="1"/>
    <col min="8704" max="8705" width="3.5703125" style="789" customWidth="1"/>
    <col min="8706" max="8706" width="11.42578125" style="789" customWidth="1"/>
    <col min="8707" max="8709" width="5.7109375" style="789" customWidth="1"/>
    <col min="8710" max="8710" width="9" style="789" customWidth="1"/>
    <col min="8711" max="8711" width="18.7109375" style="789" customWidth="1"/>
    <col min="8712" max="8958" width="9.140625" style="789"/>
    <col min="8959" max="8959" width="49.42578125" style="789" customWidth="1"/>
    <col min="8960" max="8961" width="3.5703125" style="789" customWidth="1"/>
    <col min="8962" max="8962" width="11.42578125" style="789" customWidth="1"/>
    <col min="8963" max="8965" width="5.7109375" style="789" customWidth="1"/>
    <col min="8966" max="8966" width="9" style="789" customWidth="1"/>
    <col min="8967" max="8967" width="18.7109375" style="789" customWidth="1"/>
    <col min="8968" max="9214" width="9.140625" style="789"/>
    <col min="9215" max="9215" width="49.42578125" style="789" customWidth="1"/>
    <col min="9216" max="9217" width="3.5703125" style="789" customWidth="1"/>
    <col min="9218" max="9218" width="11.42578125" style="789" customWidth="1"/>
    <col min="9219" max="9221" width="5.7109375" style="789" customWidth="1"/>
    <col min="9222" max="9222" width="9" style="789" customWidth="1"/>
    <col min="9223" max="9223" width="18.7109375" style="789" customWidth="1"/>
    <col min="9224" max="9470" width="9.140625" style="789"/>
    <col min="9471" max="9471" width="49.42578125" style="789" customWidth="1"/>
    <col min="9472" max="9473" width="3.5703125" style="789" customWidth="1"/>
    <col min="9474" max="9474" width="11.42578125" style="789" customWidth="1"/>
    <col min="9475" max="9477" width="5.7109375" style="789" customWidth="1"/>
    <col min="9478" max="9478" width="9" style="789" customWidth="1"/>
    <col min="9479" max="9479" width="18.7109375" style="789" customWidth="1"/>
    <col min="9480" max="9726" width="9.140625" style="789"/>
    <col min="9727" max="9727" width="49.42578125" style="789" customWidth="1"/>
    <col min="9728" max="9729" width="3.5703125" style="789" customWidth="1"/>
    <col min="9730" max="9730" width="11.42578125" style="789" customWidth="1"/>
    <col min="9731" max="9733" width="5.7109375" style="789" customWidth="1"/>
    <col min="9734" max="9734" width="9" style="789" customWidth="1"/>
    <col min="9735" max="9735" width="18.7109375" style="789" customWidth="1"/>
    <col min="9736" max="9982" width="9.140625" style="789"/>
    <col min="9983" max="9983" width="49.42578125" style="789" customWidth="1"/>
    <col min="9984" max="9985" width="3.5703125" style="789" customWidth="1"/>
    <col min="9986" max="9986" width="11.42578125" style="789" customWidth="1"/>
    <col min="9987" max="9989" width="5.7109375" style="789" customWidth="1"/>
    <col min="9990" max="9990" width="9" style="789" customWidth="1"/>
    <col min="9991" max="9991" width="18.7109375" style="789" customWidth="1"/>
    <col min="9992" max="10238" width="9.140625" style="789"/>
    <col min="10239" max="10239" width="49.42578125" style="789" customWidth="1"/>
    <col min="10240" max="10241" width="3.5703125" style="789" customWidth="1"/>
    <col min="10242" max="10242" width="11.42578125" style="789" customWidth="1"/>
    <col min="10243" max="10245" width="5.7109375" style="789" customWidth="1"/>
    <col min="10246" max="10246" width="9" style="789" customWidth="1"/>
    <col min="10247" max="10247" width="18.7109375" style="789" customWidth="1"/>
    <col min="10248" max="10494" width="9.140625" style="789"/>
    <col min="10495" max="10495" width="49.42578125" style="789" customWidth="1"/>
    <col min="10496" max="10497" width="3.5703125" style="789" customWidth="1"/>
    <col min="10498" max="10498" width="11.42578125" style="789" customWidth="1"/>
    <col min="10499" max="10501" width="5.7109375" style="789" customWidth="1"/>
    <col min="10502" max="10502" width="9" style="789" customWidth="1"/>
    <col min="10503" max="10503" width="18.7109375" style="789" customWidth="1"/>
    <col min="10504" max="10750" width="9.140625" style="789"/>
    <col min="10751" max="10751" width="49.42578125" style="789" customWidth="1"/>
    <col min="10752" max="10753" width="3.5703125" style="789" customWidth="1"/>
    <col min="10754" max="10754" width="11.42578125" style="789" customWidth="1"/>
    <col min="10755" max="10757" width="5.7109375" style="789" customWidth="1"/>
    <col min="10758" max="10758" width="9" style="789" customWidth="1"/>
    <col min="10759" max="10759" width="18.7109375" style="789" customWidth="1"/>
    <col min="10760" max="11006" width="9.140625" style="789"/>
    <col min="11007" max="11007" width="49.42578125" style="789" customWidth="1"/>
    <col min="11008" max="11009" width="3.5703125" style="789" customWidth="1"/>
    <col min="11010" max="11010" width="11.42578125" style="789" customWidth="1"/>
    <col min="11011" max="11013" width="5.7109375" style="789" customWidth="1"/>
    <col min="11014" max="11014" width="9" style="789" customWidth="1"/>
    <col min="11015" max="11015" width="18.7109375" style="789" customWidth="1"/>
    <col min="11016" max="11262" width="9.140625" style="789"/>
    <col min="11263" max="11263" width="49.42578125" style="789" customWidth="1"/>
    <col min="11264" max="11265" width="3.5703125" style="789" customWidth="1"/>
    <col min="11266" max="11266" width="11.42578125" style="789" customWidth="1"/>
    <col min="11267" max="11269" width="5.7109375" style="789" customWidth="1"/>
    <col min="11270" max="11270" width="9" style="789" customWidth="1"/>
    <col min="11271" max="11271" width="18.7109375" style="789" customWidth="1"/>
    <col min="11272" max="11518" width="9.140625" style="789"/>
    <col min="11519" max="11519" width="49.42578125" style="789" customWidth="1"/>
    <col min="11520" max="11521" width="3.5703125" style="789" customWidth="1"/>
    <col min="11522" max="11522" width="11.42578125" style="789" customWidth="1"/>
    <col min="11523" max="11525" width="5.7109375" style="789" customWidth="1"/>
    <col min="11526" max="11526" width="9" style="789" customWidth="1"/>
    <col min="11527" max="11527" width="18.7109375" style="789" customWidth="1"/>
    <col min="11528" max="11774" width="9.140625" style="789"/>
    <col min="11775" max="11775" width="49.42578125" style="789" customWidth="1"/>
    <col min="11776" max="11777" width="3.5703125" style="789" customWidth="1"/>
    <col min="11778" max="11778" width="11.42578125" style="789" customWidth="1"/>
    <col min="11779" max="11781" width="5.7109375" style="789" customWidth="1"/>
    <col min="11782" max="11782" width="9" style="789" customWidth="1"/>
    <col min="11783" max="11783" width="18.7109375" style="789" customWidth="1"/>
    <col min="11784" max="12030" width="9.140625" style="789"/>
    <col min="12031" max="12031" width="49.42578125" style="789" customWidth="1"/>
    <col min="12032" max="12033" width="3.5703125" style="789" customWidth="1"/>
    <col min="12034" max="12034" width="11.42578125" style="789" customWidth="1"/>
    <col min="12035" max="12037" width="5.7109375" style="789" customWidth="1"/>
    <col min="12038" max="12038" width="9" style="789" customWidth="1"/>
    <col min="12039" max="12039" width="18.7109375" style="789" customWidth="1"/>
    <col min="12040" max="12286" width="9.140625" style="789"/>
    <col min="12287" max="12287" width="49.42578125" style="789" customWidth="1"/>
    <col min="12288" max="12289" width="3.5703125" style="789" customWidth="1"/>
    <col min="12290" max="12290" width="11.42578125" style="789" customWidth="1"/>
    <col min="12291" max="12293" width="5.7109375" style="789" customWidth="1"/>
    <col min="12294" max="12294" width="9" style="789" customWidth="1"/>
    <col min="12295" max="12295" width="18.7109375" style="789" customWidth="1"/>
    <col min="12296" max="12542" width="9.140625" style="789"/>
    <col min="12543" max="12543" width="49.42578125" style="789" customWidth="1"/>
    <col min="12544" max="12545" width="3.5703125" style="789" customWidth="1"/>
    <col min="12546" max="12546" width="11.42578125" style="789" customWidth="1"/>
    <col min="12547" max="12549" width="5.7109375" style="789" customWidth="1"/>
    <col min="12550" max="12550" width="9" style="789" customWidth="1"/>
    <col min="12551" max="12551" width="18.7109375" style="789" customWidth="1"/>
    <col min="12552" max="12798" width="9.140625" style="789"/>
    <col min="12799" max="12799" width="49.42578125" style="789" customWidth="1"/>
    <col min="12800" max="12801" width="3.5703125" style="789" customWidth="1"/>
    <col min="12802" max="12802" width="11.42578125" style="789" customWidth="1"/>
    <col min="12803" max="12805" width="5.7109375" style="789" customWidth="1"/>
    <col min="12806" max="12806" width="9" style="789" customWidth="1"/>
    <col min="12807" max="12807" width="18.7109375" style="789" customWidth="1"/>
    <col min="12808" max="13054" width="9.140625" style="789"/>
    <col min="13055" max="13055" width="49.42578125" style="789" customWidth="1"/>
    <col min="13056" max="13057" width="3.5703125" style="789" customWidth="1"/>
    <col min="13058" max="13058" width="11.42578125" style="789" customWidth="1"/>
    <col min="13059" max="13061" width="5.7109375" style="789" customWidth="1"/>
    <col min="13062" max="13062" width="9" style="789" customWidth="1"/>
    <col min="13063" max="13063" width="18.7109375" style="789" customWidth="1"/>
    <col min="13064" max="13310" width="9.140625" style="789"/>
    <col min="13311" max="13311" width="49.42578125" style="789" customWidth="1"/>
    <col min="13312" max="13313" width="3.5703125" style="789" customWidth="1"/>
    <col min="13314" max="13314" width="11.42578125" style="789" customWidth="1"/>
    <col min="13315" max="13317" width="5.7109375" style="789" customWidth="1"/>
    <col min="13318" max="13318" width="9" style="789" customWidth="1"/>
    <col min="13319" max="13319" width="18.7109375" style="789" customWidth="1"/>
    <col min="13320" max="13566" width="9.140625" style="789"/>
    <col min="13567" max="13567" width="49.42578125" style="789" customWidth="1"/>
    <col min="13568" max="13569" width="3.5703125" style="789" customWidth="1"/>
    <col min="13570" max="13570" width="11.42578125" style="789" customWidth="1"/>
    <col min="13571" max="13573" width="5.7109375" style="789" customWidth="1"/>
    <col min="13574" max="13574" width="9" style="789" customWidth="1"/>
    <col min="13575" max="13575" width="18.7109375" style="789" customWidth="1"/>
    <col min="13576" max="13822" width="9.140625" style="789"/>
    <col min="13823" max="13823" width="49.42578125" style="789" customWidth="1"/>
    <col min="13824" max="13825" width="3.5703125" style="789" customWidth="1"/>
    <col min="13826" max="13826" width="11.42578125" style="789" customWidth="1"/>
    <col min="13827" max="13829" width="5.7109375" style="789" customWidth="1"/>
    <col min="13830" max="13830" width="9" style="789" customWidth="1"/>
    <col min="13831" max="13831" width="18.7109375" style="789" customWidth="1"/>
    <col min="13832" max="14078" width="9.140625" style="789"/>
    <col min="14079" max="14079" width="49.42578125" style="789" customWidth="1"/>
    <col min="14080" max="14081" width="3.5703125" style="789" customWidth="1"/>
    <col min="14082" max="14082" width="11.42578125" style="789" customWidth="1"/>
    <col min="14083" max="14085" width="5.7109375" style="789" customWidth="1"/>
    <col min="14086" max="14086" width="9" style="789" customWidth="1"/>
    <col min="14087" max="14087" width="18.7109375" style="789" customWidth="1"/>
    <col min="14088" max="14334" width="9.140625" style="789"/>
    <col min="14335" max="14335" width="49.42578125" style="789" customWidth="1"/>
    <col min="14336" max="14337" width="3.5703125" style="789" customWidth="1"/>
    <col min="14338" max="14338" width="11.42578125" style="789" customWidth="1"/>
    <col min="14339" max="14341" width="5.7109375" style="789" customWidth="1"/>
    <col min="14342" max="14342" width="9" style="789" customWidth="1"/>
    <col min="14343" max="14343" width="18.7109375" style="789" customWidth="1"/>
    <col min="14344" max="14590" width="9.140625" style="789"/>
    <col min="14591" max="14591" width="49.42578125" style="789" customWidth="1"/>
    <col min="14592" max="14593" width="3.5703125" style="789" customWidth="1"/>
    <col min="14594" max="14594" width="11.42578125" style="789" customWidth="1"/>
    <col min="14595" max="14597" width="5.7109375" style="789" customWidth="1"/>
    <col min="14598" max="14598" width="9" style="789" customWidth="1"/>
    <col min="14599" max="14599" width="18.7109375" style="789" customWidth="1"/>
    <col min="14600" max="14846" width="9.140625" style="789"/>
    <col min="14847" max="14847" width="49.42578125" style="789" customWidth="1"/>
    <col min="14848" max="14849" width="3.5703125" style="789" customWidth="1"/>
    <col min="14850" max="14850" width="11.42578125" style="789" customWidth="1"/>
    <col min="14851" max="14853" width="5.7109375" style="789" customWidth="1"/>
    <col min="14854" max="14854" width="9" style="789" customWidth="1"/>
    <col min="14855" max="14855" width="18.7109375" style="789" customWidth="1"/>
    <col min="14856" max="15102" width="9.140625" style="789"/>
    <col min="15103" max="15103" width="49.42578125" style="789" customWidth="1"/>
    <col min="15104" max="15105" width="3.5703125" style="789" customWidth="1"/>
    <col min="15106" max="15106" width="11.42578125" style="789" customWidth="1"/>
    <col min="15107" max="15109" width="5.7109375" style="789" customWidth="1"/>
    <col min="15110" max="15110" width="9" style="789" customWidth="1"/>
    <col min="15111" max="15111" width="18.7109375" style="789" customWidth="1"/>
    <col min="15112" max="15358" width="9.140625" style="789"/>
    <col min="15359" max="15359" width="49.42578125" style="789" customWidth="1"/>
    <col min="15360" max="15361" width="3.5703125" style="789" customWidth="1"/>
    <col min="15362" max="15362" width="11.42578125" style="789" customWidth="1"/>
    <col min="15363" max="15365" width="5.7109375" style="789" customWidth="1"/>
    <col min="15366" max="15366" width="9" style="789" customWidth="1"/>
    <col min="15367" max="15367" width="18.7109375" style="789" customWidth="1"/>
    <col min="15368" max="15614" width="9.140625" style="789"/>
    <col min="15615" max="15615" width="49.42578125" style="789" customWidth="1"/>
    <col min="15616" max="15617" width="3.5703125" style="789" customWidth="1"/>
    <col min="15618" max="15618" width="11.42578125" style="789" customWidth="1"/>
    <col min="15619" max="15621" width="5.7109375" style="789" customWidth="1"/>
    <col min="15622" max="15622" width="9" style="789" customWidth="1"/>
    <col min="15623" max="15623" width="18.7109375" style="789" customWidth="1"/>
    <col min="15624" max="15870" width="9.140625" style="789"/>
    <col min="15871" max="15871" width="49.42578125" style="789" customWidth="1"/>
    <col min="15872" max="15873" width="3.5703125" style="789" customWidth="1"/>
    <col min="15874" max="15874" width="11.42578125" style="789" customWidth="1"/>
    <col min="15875" max="15877" width="5.7109375" style="789" customWidth="1"/>
    <col min="15878" max="15878" width="9" style="789" customWidth="1"/>
    <col min="15879" max="15879" width="18.7109375" style="789" customWidth="1"/>
    <col min="15880" max="16126" width="9.140625" style="789"/>
    <col min="16127" max="16127" width="49.42578125" style="789" customWidth="1"/>
    <col min="16128" max="16129" width="3.5703125" style="789" customWidth="1"/>
    <col min="16130" max="16130" width="11.42578125" style="789" customWidth="1"/>
    <col min="16131" max="16133" width="5.7109375" style="789" customWidth="1"/>
    <col min="16134" max="16134" width="9" style="789" customWidth="1"/>
    <col min="16135" max="16135" width="18.7109375" style="789" customWidth="1"/>
    <col min="16136" max="16384" width="9.140625" style="789"/>
  </cols>
  <sheetData>
    <row r="1" spans="1:10" s="829" customFormat="1" ht="17.25" customHeight="1" x14ac:dyDescent="0.2">
      <c r="A1" s="828"/>
      <c r="D1" s="1139" t="s">
        <v>327</v>
      </c>
      <c r="E1" s="1139"/>
      <c r="F1" s="1139"/>
      <c r="G1" s="1139"/>
      <c r="H1" s="1139"/>
      <c r="I1" s="837"/>
    </row>
    <row r="2" spans="1:10" s="829" customFormat="1" ht="17.25" customHeight="1" x14ac:dyDescent="0.25">
      <c r="A2" s="831"/>
      <c r="B2" s="831"/>
      <c r="C2" s="831"/>
      <c r="D2" s="1140" t="s">
        <v>328</v>
      </c>
      <c r="E2" s="1140"/>
      <c r="F2" s="1140"/>
      <c r="G2" s="1140"/>
      <c r="H2" s="1140"/>
      <c r="I2" s="837"/>
      <c r="J2" s="903"/>
    </row>
    <row r="3" spans="1:10" s="829" customFormat="1" ht="12" customHeight="1" x14ac:dyDescent="0.2">
      <c r="A3" s="832"/>
      <c r="B3" s="832"/>
      <c r="C3" s="832"/>
      <c r="D3" s="1138" t="s">
        <v>329</v>
      </c>
      <c r="E3" s="1138"/>
      <c r="F3" s="1138"/>
      <c r="G3" s="1138"/>
      <c r="H3" s="1138"/>
      <c r="I3" s="837"/>
      <c r="J3" s="832"/>
    </row>
    <row r="4" spans="1:10" s="829" customFormat="1" ht="17.25" customHeight="1" x14ac:dyDescent="0.2">
      <c r="D4" s="1141"/>
      <c r="E4" s="1141"/>
      <c r="F4" s="1141" t="str">
        <f>сВДЛ!F4</f>
        <v>М.В. Златова</v>
      </c>
      <c r="G4" s="1141"/>
      <c r="H4" s="1141"/>
      <c r="I4" s="837"/>
    </row>
    <row r="5" spans="1:10" s="829" customFormat="1" ht="10.5" customHeight="1" x14ac:dyDescent="0.2">
      <c r="A5" s="791"/>
      <c r="D5" s="1138" t="s">
        <v>330</v>
      </c>
      <c r="E5" s="1138"/>
      <c r="F5" s="1138" t="s">
        <v>331</v>
      </c>
      <c r="G5" s="1138"/>
      <c r="H5" s="1138"/>
      <c r="I5" s="837"/>
    </row>
    <row r="6" spans="1:10" s="829" customFormat="1" ht="15" customHeight="1" x14ac:dyDescent="0.2">
      <c r="A6" s="1131" t="s">
        <v>332</v>
      </c>
      <c r="B6" s="1131"/>
      <c r="C6" s="1131"/>
      <c r="D6" s="1131"/>
      <c r="E6" s="1131"/>
      <c r="F6" s="1131"/>
      <c r="G6" s="1131"/>
      <c r="H6" s="1131"/>
      <c r="I6" s="834"/>
      <c r="J6" s="887"/>
    </row>
    <row r="7" spans="1:10" s="829" customFormat="1" ht="15" customHeight="1" x14ac:dyDescent="0.25">
      <c r="A7" s="1131" t="str">
        <f>'СВОД смет'!A7:H7</f>
        <v>на 2020 год</v>
      </c>
      <c r="B7" s="1131"/>
      <c r="C7" s="1131"/>
      <c r="D7" s="1131"/>
      <c r="E7" s="1131"/>
      <c r="F7" s="1131"/>
      <c r="G7" s="1131"/>
      <c r="H7" s="1131"/>
      <c r="I7" s="834"/>
      <c r="J7" s="888"/>
    </row>
    <row r="8" spans="1:10" s="829" customFormat="1" ht="13.5" customHeight="1" x14ac:dyDescent="0.25">
      <c r="A8" s="835"/>
      <c r="B8" s="835"/>
      <c r="C8" s="835"/>
      <c r="D8" s="835"/>
      <c r="E8" s="1132"/>
      <c r="F8" s="1133"/>
      <c r="G8" s="1134" t="s">
        <v>333</v>
      </c>
      <c r="H8" s="1135"/>
      <c r="I8" s="834"/>
      <c r="J8" s="904"/>
    </row>
    <row r="9" spans="1:10" s="829" customFormat="1" ht="13.5" customHeight="1" x14ac:dyDescent="0.25">
      <c r="A9" s="1136" t="s">
        <v>334</v>
      </c>
      <c r="B9" s="1136"/>
      <c r="C9" s="1136"/>
      <c r="D9" s="1137"/>
      <c r="E9" s="1122" t="s">
        <v>335</v>
      </c>
      <c r="F9" s="1122"/>
      <c r="G9" s="1123">
        <v>4109076</v>
      </c>
      <c r="H9" s="1123"/>
      <c r="I9" s="837"/>
      <c r="J9" s="888"/>
    </row>
    <row r="10" spans="1:10" s="829" customFormat="1" ht="13.5" customHeight="1" x14ac:dyDescent="0.25">
      <c r="A10" s="1129" t="s">
        <v>837</v>
      </c>
      <c r="B10" s="1129"/>
      <c r="C10" s="1129"/>
      <c r="D10" s="1130"/>
      <c r="E10" s="1122" t="s">
        <v>337</v>
      </c>
      <c r="F10" s="1122"/>
      <c r="G10" s="1123"/>
      <c r="H10" s="1123"/>
      <c r="I10" s="837"/>
      <c r="J10" s="888"/>
    </row>
    <row r="11" spans="1:10" s="829" customFormat="1" ht="13.5" customHeight="1" x14ac:dyDescent="0.25">
      <c r="A11" s="838" t="s">
        <v>338</v>
      </c>
      <c r="B11" s="839"/>
      <c r="C11" s="839"/>
      <c r="D11" s="839"/>
      <c r="E11" s="1122" t="s">
        <v>339</v>
      </c>
      <c r="F11" s="1122"/>
      <c r="G11" s="1123">
        <v>384</v>
      </c>
      <c r="H11" s="1123"/>
      <c r="I11" s="840"/>
      <c r="J11" s="839"/>
    </row>
    <row r="12" spans="1:10" s="179" customFormat="1" ht="33.75" customHeight="1" x14ac:dyDescent="0.2">
      <c r="A12" s="1142" t="s">
        <v>115</v>
      </c>
      <c r="B12" s="1142"/>
      <c r="C12" s="1142"/>
      <c r="D12" s="1142"/>
      <c r="E12" s="1142"/>
      <c r="F12" s="1142"/>
      <c r="G12" s="1142"/>
      <c r="H12" s="1142"/>
      <c r="I12" s="638"/>
    </row>
    <row r="13" spans="1:10" s="179" customFormat="1" ht="6" customHeight="1" x14ac:dyDescent="0.2">
      <c r="E13" s="842"/>
      <c r="F13" s="842"/>
      <c r="G13" s="842"/>
      <c r="H13" s="842"/>
      <c r="I13" s="638"/>
    </row>
    <row r="14" spans="1:10" s="179" customFormat="1" x14ac:dyDescent="0.2">
      <c r="A14" s="1124" t="s">
        <v>340</v>
      </c>
      <c r="B14" s="1125" t="s">
        <v>341</v>
      </c>
      <c r="C14" s="1126"/>
      <c r="D14" s="1126"/>
      <c r="E14" s="1126"/>
      <c r="F14" s="1126"/>
      <c r="G14" s="1127"/>
      <c r="H14" s="1128" t="s">
        <v>661</v>
      </c>
      <c r="I14" s="638"/>
    </row>
    <row r="15" spans="1:10" ht="46.5" customHeight="1" x14ac:dyDescent="0.25">
      <c r="A15" s="1124"/>
      <c r="B15" s="843" t="s">
        <v>99</v>
      </c>
      <c r="C15" s="843" t="s">
        <v>100</v>
      </c>
      <c r="D15" s="844" t="s">
        <v>101</v>
      </c>
      <c r="E15" s="843" t="s">
        <v>342</v>
      </c>
      <c r="F15" s="844" t="s">
        <v>343</v>
      </c>
      <c r="G15" s="844" t="s">
        <v>344</v>
      </c>
      <c r="H15" s="1128"/>
      <c r="I15" s="889"/>
    </row>
    <row r="16" spans="1:10" x14ac:dyDescent="0.25">
      <c r="A16" s="564" t="s">
        <v>640</v>
      </c>
      <c r="B16" s="581" t="s">
        <v>106</v>
      </c>
      <c r="C16" s="581" t="s">
        <v>116</v>
      </c>
      <c r="D16" s="581" t="s">
        <v>485</v>
      </c>
      <c r="E16" s="581" t="s">
        <v>345</v>
      </c>
      <c r="F16" s="586" t="s">
        <v>345</v>
      </c>
      <c r="G16" s="563"/>
      <c r="H16" s="580">
        <f>H17+H24+H44+H46+H48+H52</f>
        <v>10</v>
      </c>
    </row>
    <row r="17" spans="1:10" x14ac:dyDescent="0.25">
      <c r="A17" s="565" t="s">
        <v>641</v>
      </c>
      <c r="B17" s="846"/>
      <c r="C17" s="846"/>
      <c r="D17" s="846"/>
      <c r="E17" s="846"/>
      <c r="F17" s="558">
        <v>210</v>
      </c>
      <c r="G17" s="558"/>
      <c r="H17" s="847">
        <f>H18+H19+H21+H22</f>
        <v>0</v>
      </c>
    </row>
    <row r="18" spans="1:10" x14ac:dyDescent="0.25">
      <c r="A18" s="566" t="s">
        <v>346</v>
      </c>
      <c r="B18" s="848"/>
      <c r="C18" s="848"/>
      <c r="D18" s="848"/>
      <c r="E18" s="581"/>
      <c r="F18" s="559">
        <v>211</v>
      </c>
      <c r="G18" s="559"/>
      <c r="H18" s="850"/>
      <c r="J18" s="811"/>
    </row>
    <row r="19" spans="1:10" x14ac:dyDescent="0.25">
      <c r="A19" s="566" t="s">
        <v>642</v>
      </c>
      <c r="B19" s="848"/>
      <c r="C19" s="848"/>
      <c r="D19" s="848"/>
      <c r="E19" s="848"/>
      <c r="F19" s="559">
        <v>212</v>
      </c>
      <c r="G19" s="559"/>
      <c r="H19" s="850">
        <f>H20</f>
        <v>0</v>
      </c>
      <c r="J19" s="811"/>
    </row>
    <row r="20" spans="1:10" x14ac:dyDescent="0.25">
      <c r="A20" s="567" t="s">
        <v>347</v>
      </c>
      <c r="B20" s="852"/>
      <c r="C20" s="852"/>
      <c r="D20" s="852"/>
      <c r="E20" s="852"/>
      <c r="F20" s="560">
        <v>212</v>
      </c>
      <c r="G20" s="560">
        <v>610</v>
      </c>
      <c r="H20" s="281"/>
    </row>
    <row r="21" spans="1:10" x14ac:dyDescent="0.25">
      <c r="A21" s="566" t="s">
        <v>643</v>
      </c>
      <c r="B21" s="848"/>
      <c r="C21" s="848"/>
      <c r="D21" s="848"/>
      <c r="E21" s="581"/>
      <c r="F21" s="559">
        <v>213</v>
      </c>
      <c r="G21" s="559"/>
      <c r="H21" s="850"/>
    </row>
    <row r="22" spans="1:10" ht="24" x14ac:dyDescent="0.25">
      <c r="A22" s="566" t="s">
        <v>644</v>
      </c>
      <c r="B22" s="848"/>
      <c r="C22" s="848"/>
      <c r="D22" s="848"/>
      <c r="E22" s="848"/>
      <c r="F22" s="559">
        <v>214</v>
      </c>
      <c r="G22" s="559"/>
      <c r="H22" s="850">
        <f>H23</f>
        <v>0</v>
      </c>
    </row>
    <row r="23" spans="1:10" x14ac:dyDescent="0.25">
      <c r="A23" s="567" t="s">
        <v>423</v>
      </c>
      <c r="B23" s="852"/>
      <c r="C23" s="852"/>
      <c r="D23" s="852"/>
      <c r="E23" s="852"/>
      <c r="F23" s="560">
        <v>214</v>
      </c>
      <c r="G23" s="560">
        <v>831</v>
      </c>
      <c r="H23" s="281"/>
    </row>
    <row r="24" spans="1:10" x14ac:dyDescent="0.25">
      <c r="A24" s="565" t="s">
        <v>645</v>
      </c>
      <c r="B24" s="846" t="s">
        <v>106</v>
      </c>
      <c r="C24" s="846" t="s">
        <v>116</v>
      </c>
      <c r="D24" s="846" t="s">
        <v>124</v>
      </c>
      <c r="E24" s="846" t="s">
        <v>126</v>
      </c>
      <c r="F24" s="558">
        <v>220</v>
      </c>
      <c r="G24" s="558"/>
      <c r="H24" s="847">
        <f>H25+H26+H28+H32+H36</f>
        <v>10</v>
      </c>
    </row>
    <row r="25" spans="1:10" x14ac:dyDescent="0.25">
      <c r="A25" s="566" t="s">
        <v>351</v>
      </c>
      <c r="B25" s="848" t="s">
        <v>106</v>
      </c>
      <c r="C25" s="848" t="s">
        <v>116</v>
      </c>
      <c r="D25" s="848" t="s">
        <v>124</v>
      </c>
      <c r="E25" s="848" t="s">
        <v>416</v>
      </c>
      <c r="F25" s="559">
        <v>221</v>
      </c>
      <c r="G25" s="559"/>
      <c r="H25" s="850">
        <f>рДеп!J10</f>
        <v>5.5</v>
      </c>
    </row>
    <row r="26" spans="1:10" x14ac:dyDescent="0.25">
      <c r="A26" s="566" t="s">
        <v>646</v>
      </c>
      <c r="B26" s="848"/>
      <c r="C26" s="848"/>
      <c r="D26" s="848"/>
      <c r="E26" s="848"/>
      <c r="F26" s="559">
        <v>222</v>
      </c>
      <c r="G26" s="559"/>
      <c r="H26" s="850">
        <f>H27</f>
        <v>0</v>
      </c>
    </row>
    <row r="27" spans="1:10" x14ac:dyDescent="0.25">
      <c r="A27" s="567" t="s">
        <v>352</v>
      </c>
      <c r="B27" s="852"/>
      <c r="C27" s="852"/>
      <c r="D27" s="852"/>
      <c r="E27" s="852"/>
      <c r="F27" s="560">
        <v>222</v>
      </c>
      <c r="G27" s="560">
        <v>500</v>
      </c>
      <c r="H27" s="281"/>
    </row>
    <row r="28" spans="1:10" x14ac:dyDescent="0.25">
      <c r="A28" s="566" t="s">
        <v>353</v>
      </c>
      <c r="B28" s="848"/>
      <c r="C28" s="848"/>
      <c r="D28" s="848"/>
      <c r="E28" s="848"/>
      <c r="F28" s="559">
        <v>223</v>
      </c>
      <c r="G28" s="559"/>
      <c r="H28" s="850">
        <f>SUM(H29:H31)</f>
        <v>0</v>
      </c>
    </row>
    <row r="29" spans="1:10" x14ac:dyDescent="0.25">
      <c r="A29" s="567" t="s">
        <v>354</v>
      </c>
      <c r="B29" s="852"/>
      <c r="C29" s="852"/>
      <c r="D29" s="852"/>
      <c r="E29" s="852"/>
      <c r="F29" s="560">
        <v>223</v>
      </c>
      <c r="G29" s="560">
        <v>721</v>
      </c>
      <c r="H29" s="281"/>
    </row>
    <row r="30" spans="1:10" x14ac:dyDescent="0.25">
      <c r="A30" s="567" t="s">
        <v>355</v>
      </c>
      <c r="B30" s="852"/>
      <c r="C30" s="852"/>
      <c r="D30" s="852"/>
      <c r="E30" s="852"/>
      <c r="F30" s="560">
        <v>223</v>
      </c>
      <c r="G30" s="560">
        <v>730</v>
      </c>
      <c r="H30" s="281"/>
    </row>
    <row r="31" spans="1:10" x14ac:dyDescent="0.25">
      <c r="A31" s="567" t="s">
        <v>356</v>
      </c>
      <c r="B31" s="852"/>
      <c r="C31" s="852"/>
      <c r="D31" s="852"/>
      <c r="E31" s="852"/>
      <c r="F31" s="560">
        <v>223</v>
      </c>
      <c r="G31" s="560">
        <v>740</v>
      </c>
      <c r="H31" s="281"/>
    </row>
    <row r="32" spans="1:10" x14ac:dyDescent="0.25">
      <c r="A32" s="566" t="s">
        <v>647</v>
      </c>
      <c r="B32" s="848"/>
      <c r="C32" s="848"/>
      <c r="D32" s="848"/>
      <c r="E32" s="848"/>
      <c r="F32" s="559">
        <v>225</v>
      </c>
      <c r="G32" s="559"/>
      <c r="H32" s="850">
        <f>SUM(H33:H35)</f>
        <v>0</v>
      </c>
    </row>
    <row r="33" spans="1:9" x14ac:dyDescent="0.25">
      <c r="A33" s="734" t="s">
        <v>171</v>
      </c>
      <c r="B33" s="852"/>
      <c r="C33" s="852"/>
      <c r="D33" s="852"/>
      <c r="E33" s="852"/>
      <c r="F33" s="561">
        <v>225</v>
      </c>
      <c r="G33" s="561" t="s">
        <v>357</v>
      </c>
      <c r="H33" s="281"/>
    </row>
    <row r="34" spans="1:9" ht="24" x14ac:dyDescent="0.25">
      <c r="A34" s="567" t="s">
        <v>648</v>
      </c>
      <c r="B34" s="852"/>
      <c r="C34" s="852"/>
      <c r="D34" s="852"/>
      <c r="E34" s="852"/>
      <c r="F34" s="560">
        <v>225</v>
      </c>
      <c r="G34" s="560" t="s">
        <v>358</v>
      </c>
      <c r="H34" s="281"/>
    </row>
    <row r="35" spans="1:9" x14ac:dyDescent="0.25">
      <c r="A35" s="567" t="s">
        <v>649</v>
      </c>
      <c r="B35" s="848"/>
      <c r="C35" s="848"/>
      <c r="D35" s="848"/>
      <c r="E35" s="848"/>
      <c r="F35" s="560">
        <v>225</v>
      </c>
      <c r="G35" s="560" t="s">
        <v>660</v>
      </c>
      <c r="H35" s="281"/>
    </row>
    <row r="36" spans="1:9" x14ac:dyDescent="0.25">
      <c r="A36" s="566" t="s">
        <v>562</v>
      </c>
      <c r="B36" s="848" t="s">
        <v>106</v>
      </c>
      <c r="C36" s="848" t="s">
        <v>116</v>
      </c>
      <c r="D36" s="848" t="s">
        <v>124</v>
      </c>
      <c r="E36" s="848" t="s">
        <v>416</v>
      </c>
      <c r="F36" s="559" t="s">
        <v>350</v>
      </c>
      <c r="G36" s="559"/>
      <c r="H36" s="850">
        <f>SUM(H37:H43)</f>
        <v>4.5</v>
      </c>
    </row>
    <row r="37" spans="1:9" x14ac:dyDescent="0.25">
      <c r="A37" s="567" t="s">
        <v>359</v>
      </c>
      <c r="B37" s="852"/>
      <c r="C37" s="852"/>
      <c r="D37" s="852"/>
      <c r="E37" s="852"/>
      <c r="F37" s="560">
        <v>226</v>
      </c>
      <c r="G37" s="560" t="s">
        <v>360</v>
      </c>
      <c r="H37" s="281"/>
      <c r="I37" s="890"/>
    </row>
    <row r="38" spans="1:9" x14ac:dyDescent="0.25">
      <c r="A38" s="567" t="s">
        <v>361</v>
      </c>
      <c r="B38" s="852" t="s">
        <v>106</v>
      </c>
      <c r="C38" s="852" t="s">
        <v>116</v>
      </c>
      <c r="D38" s="852" t="s">
        <v>124</v>
      </c>
      <c r="E38" s="852" t="s">
        <v>416</v>
      </c>
      <c r="F38" s="560">
        <v>226</v>
      </c>
      <c r="G38" s="560" t="s">
        <v>362</v>
      </c>
      <c r="H38" s="281">
        <f>рДеп!J17</f>
        <v>4.5</v>
      </c>
    </row>
    <row r="39" spans="1:9" ht="24" x14ac:dyDescent="0.25">
      <c r="A39" s="567" t="s">
        <v>650</v>
      </c>
      <c r="B39" s="852"/>
      <c r="C39" s="852"/>
      <c r="D39" s="852"/>
      <c r="E39" s="852"/>
      <c r="F39" s="560">
        <v>226</v>
      </c>
      <c r="G39" s="560" t="s">
        <v>363</v>
      </c>
      <c r="H39" s="281"/>
    </row>
    <row r="40" spans="1:9" x14ac:dyDescent="0.25">
      <c r="A40" s="567" t="s">
        <v>348</v>
      </c>
      <c r="B40" s="852"/>
      <c r="C40" s="852"/>
      <c r="D40" s="852"/>
      <c r="E40" s="852"/>
      <c r="F40" s="560">
        <v>226</v>
      </c>
      <c r="G40" s="560">
        <v>620</v>
      </c>
      <c r="H40" s="281"/>
    </row>
    <row r="41" spans="1:9" x14ac:dyDescent="0.25">
      <c r="A41" s="567" t="s">
        <v>349</v>
      </c>
      <c r="B41" s="852"/>
      <c r="C41" s="852"/>
      <c r="D41" s="852"/>
      <c r="E41" s="852"/>
      <c r="F41" s="560">
        <v>226</v>
      </c>
      <c r="G41" s="560">
        <v>630</v>
      </c>
      <c r="H41" s="281"/>
    </row>
    <row r="42" spans="1:9" x14ac:dyDescent="0.25">
      <c r="A42" s="567" t="s">
        <v>697</v>
      </c>
      <c r="B42" s="852"/>
      <c r="C42" s="852"/>
      <c r="D42" s="852"/>
      <c r="E42" s="852"/>
      <c r="F42" s="560">
        <v>226</v>
      </c>
      <c r="G42" s="560">
        <v>843</v>
      </c>
      <c r="H42" s="281"/>
    </row>
    <row r="43" spans="1:9" x14ac:dyDescent="0.25">
      <c r="A43" s="734" t="s">
        <v>371</v>
      </c>
      <c r="B43" s="854"/>
      <c r="C43" s="854"/>
      <c r="D43" s="854"/>
      <c r="E43" s="854"/>
      <c r="F43" s="561">
        <v>226</v>
      </c>
      <c r="G43" s="561">
        <v>845</v>
      </c>
      <c r="H43" s="855"/>
    </row>
    <row r="44" spans="1:9" ht="25.5" x14ac:dyDescent="0.25">
      <c r="A44" s="856" t="s">
        <v>636</v>
      </c>
      <c r="B44" s="857"/>
      <c r="C44" s="857"/>
      <c r="D44" s="857"/>
      <c r="E44" s="857"/>
      <c r="F44" s="558">
        <v>240</v>
      </c>
      <c r="G44" s="558"/>
      <c r="H44" s="858">
        <f>H45</f>
        <v>0</v>
      </c>
    </row>
    <row r="45" spans="1:9" ht="24" x14ac:dyDescent="0.25">
      <c r="A45" s="859" t="s">
        <v>639</v>
      </c>
      <c r="B45" s="854"/>
      <c r="C45" s="854"/>
      <c r="D45" s="854"/>
      <c r="E45" s="854"/>
      <c r="F45" s="563">
        <v>244</v>
      </c>
      <c r="G45" s="563"/>
      <c r="H45" s="580"/>
    </row>
    <row r="46" spans="1:9" x14ac:dyDescent="0.25">
      <c r="A46" s="565" t="s">
        <v>651</v>
      </c>
      <c r="B46" s="857"/>
      <c r="C46" s="857"/>
      <c r="D46" s="857"/>
      <c r="E46" s="857"/>
      <c r="F46" s="558" t="s">
        <v>364</v>
      </c>
      <c r="G46" s="558"/>
      <c r="H46" s="858">
        <f>H47</f>
        <v>0</v>
      </c>
    </row>
    <row r="47" spans="1:9" x14ac:dyDescent="0.25">
      <c r="A47" s="566" t="s">
        <v>652</v>
      </c>
      <c r="B47" s="854"/>
      <c r="C47" s="854"/>
      <c r="D47" s="854"/>
      <c r="E47" s="854"/>
      <c r="F47" s="559">
        <v>251</v>
      </c>
      <c r="G47" s="559"/>
      <c r="H47" s="580"/>
    </row>
    <row r="48" spans="1:9" x14ac:dyDescent="0.25">
      <c r="A48" s="565" t="s">
        <v>653</v>
      </c>
      <c r="B48" s="857"/>
      <c r="C48" s="857"/>
      <c r="D48" s="857"/>
      <c r="E48" s="857"/>
      <c r="F48" s="558" t="s">
        <v>366</v>
      </c>
      <c r="G48" s="558"/>
      <c r="H48" s="858">
        <f>H49+H51</f>
        <v>0</v>
      </c>
    </row>
    <row r="49" spans="1:8" ht="24" x14ac:dyDescent="0.25">
      <c r="A49" s="566" t="s">
        <v>654</v>
      </c>
      <c r="B49" s="854"/>
      <c r="C49" s="854"/>
      <c r="D49" s="854"/>
      <c r="E49" s="854"/>
      <c r="F49" s="559">
        <v>264</v>
      </c>
      <c r="G49" s="559"/>
      <c r="H49" s="580">
        <f>H50</f>
        <v>0</v>
      </c>
    </row>
    <row r="50" spans="1:8" x14ac:dyDescent="0.25">
      <c r="A50" s="567" t="s">
        <v>367</v>
      </c>
      <c r="B50" s="848"/>
      <c r="C50" s="848"/>
      <c r="D50" s="848"/>
      <c r="E50" s="848"/>
      <c r="F50" s="560">
        <v>264</v>
      </c>
      <c r="G50" s="560" t="s">
        <v>368</v>
      </c>
      <c r="H50" s="281"/>
    </row>
    <row r="51" spans="1:8" ht="24" x14ac:dyDescent="0.25">
      <c r="A51" s="566" t="s">
        <v>382</v>
      </c>
      <c r="B51" s="848"/>
      <c r="C51" s="848"/>
      <c r="D51" s="848"/>
      <c r="E51" s="848"/>
      <c r="F51" s="559">
        <v>266</v>
      </c>
      <c r="G51" s="559"/>
      <c r="H51" s="850"/>
    </row>
    <row r="52" spans="1:8" x14ac:dyDescent="0.25">
      <c r="A52" s="565" t="s">
        <v>369</v>
      </c>
      <c r="B52" s="857"/>
      <c r="C52" s="857"/>
      <c r="D52" s="857"/>
      <c r="E52" s="857"/>
      <c r="F52" s="558" t="s">
        <v>370</v>
      </c>
      <c r="G52" s="558"/>
      <c r="H52" s="858">
        <f>SUM(H53:H58)</f>
        <v>0</v>
      </c>
    </row>
    <row r="53" spans="1:8" x14ac:dyDescent="0.25">
      <c r="A53" s="568" t="s">
        <v>379</v>
      </c>
      <c r="B53" s="854"/>
      <c r="C53" s="854"/>
      <c r="D53" s="854"/>
      <c r="E53" s="854"/>
      <c r="F53" s="562">
        <v>291</v>
      </c>
      <c r="G53" s="562"/>
      <c r="H53" s="580"/>
    </row>
    <row r="54" spans="1:8" x14ac:dyDescent="0.25">
      <c r="A54" s="568" t="s">
        <v>380</v>
      </c>
      <c r="B54" s="848"/>
      <c r="C54" s="848"/>
      <c r="D54" s="848"/>
      <c r="E54" s="848"/>
      <c r="F54" s="562">
        <v>292</v>
      </c>
      <c r="G54" s="562"/>
      <c r="H54" s="850"/>
    </row>
    <row r="55" spans="1:8" x14ac:dyDescent="0.25">
      <c r="A55" s="568" t="s">
        <v>381</v>
      </c>
      <c r="B55" s="848"/>
      <c r="C55" s="848"/>
      <c r="D55" s="848"/>
      <c r="E55" s="848"/>
      <c r="F55" s="562">
        <v>293</v>
      </c>
      <c r="G55" s="562"/>
      <c r="H55" s="850"/>
    </row>
    <row r="56" spans="1:8" x14ac:dyDescent="0.25">
      <c r="A56" s="568" t="s">
        <v>665</v>
      </c>
      <c r="B56" s="848"/>
      <c r="C56" s="848"/>
      <c r="D56" s="848"/>
      <c r="E56" s="848"/>
      <c r="F56" s="562">
        <v>295</v>
      </c>
      <c r="G56" s="562"/>
      <c r="H56" s="850"/>
    </row>
    <row r="57" spans="1:8" x14ac:dyDescent="0.25">
      <c r="A57" s="568" t="s">
        <v>655</v>
      </c>
      <c r="B57" s="848"/>
      <c r="C57" s="848"/>
      <c r="D57" s="848"/>
      <c r="E57" s="848"/>
      <c r="F57" s="562">
        <v>296</v>
      </c>
      <c r="G57" s="562"/>
      <c r="H57" s="850"/>
    </row>
    <row r="58" spans="1:8" x14ac:dyDescent="0.25">
      <c r="A58" s="568" t="s">
        <v>665</v>
      </c>
      <c r="B58" s="848"/>
      <c r="C58" s="848"/>
      <c r="D58" s="848"/>
      <c r="E58" s="848"/>
      <c r="F58" s="562">
        <v>297</v>
      </c>
      <c r="G58" s="562"/>
      <c r="H58" s="850"/>
    </row>
    <row r="59" spans="1:8" x14ac:dyDescent="0.25">
      <c r="A59" s="565" t="s">
        <v>656</v>
      </c>
      <c r="B59" s="857"/>
      <c r="C59" s="857"/>
      <c r="D59" s="857"/>
      <c r="E59" s="857"/>
      <c r="F59" s="558" t="s">
        <v>205</v>
      </c>
      <c r="G59" s="558"/>
      <c r="H59" s="858">
        <f>H60+H62+H63+H64</f>
        <v>0</v>
      </c>
    </row>
    <row r="60" spans="1:8" x14ac:dyDescent="0.25">
      <c r="A60" s="566" t="s">
        <v>372</v>
      </c>
      <c r="B60" s="854"/>
      <c r="C60" s="854"/>
      <c r="D60" s="854"/>
      <c r="E60" s="854"/>
      <c r="F60" s="559" t="s">
        <v>373</v>
      </c>
      <c r="G60" s="559"/>
      <c r="H60" s="580">
        <f>H61</f>
        <v>0</v>
      </c>
    </row>
    <row r="61" spans="1:8" x14ac:dyDescent="0.25">
      <c r="A61" s="567" t="s">
        <v>374</v>
      </c>
      <c r="B61" s="848"/>
      <c r="C61" s="848"/>
      <c r="D61" s="848"/>
      <c r="E61" s="848"/>
      <c r="F61" s="560">
        <v>310</v>
      </c>
      <c r="G61" s="560" t="s">
        <v>375</v>
      </c>
      <c r="H61" s="281"/>
    </row>
    <row r="62" spans="1:8" x14ac:dyDescent="0.25">
      <c r="A62" s="569" t="s">
        <v>657</v>
      </c>
      <c r="B62" s="848"/>
      <c r="C62" s="848"/>
      <c r="D62" s="848"/>
      <c r="E62" s="848"/>
      <c r="F62" s="563">
        <v>343</v>
      </c>
      <c r="G62" s="563"/>
      <c r="H62" s="850"/>
    </row>
    <row r="63" spans="1:8" ht="24" x14ac:dyDescent="0.25">
      <c r="A63" s="569" t="s">
        <v>658</v>
      </c>
      <c r="B63" s="848"/>
      <c r="C63" s="848"/>
      <c r="D63" s="848"/>
      <c r="E63" s="848"/>
      <c r="F63" s="563">
        <v>346</v>
      </c>
      <c r="G63" s="563"/>
      <c r="H63" s="850"/>
    </row>
    <row r="64" spans="1:8" ht="24" x14ac:dyDescent="0.25">
      <c r="A64" s="569" t="s">
        <v>659</v>
      </c>
      <c r="B64" s="848"/>
      <c r="C64" s="848"/>
      <c r="D64" s="848"/>
      <c r="E64" s="848"/>
      <c r="F64" s="563">
        <v>349</v>
      </c>
      <c r="G64" s="563"/>
      <c r="H64" s="850"/>
    </row>
    <row r="65" spans="1:9" x14ac:dyDescent="0.25">
      <c r="A65" s="569" t="s">
        <v>487</v>
      </c>
      <c r="B65" s="848" t="s">
        <v>106</v>
      </c>
      <c r="C65" s="848" t="s">
        <v>116</v>
      </c>
      <c r="D65" s="848" t="s">
        <v>124</v>
      </c>
      <c r="E65" s="848" t="s">
        <v>126</v>
      </c>
      <c r="F65" s="563"/>
      <c r="G65" s="563"/>
      <c r="H65" s="850">
        <f>H36+H25</f>
        <v>10</v>
      </c>
    </row>
    <row r="66" spans="1:9" x14ac:dyDescent="0.25">
      <c r="A66" s="571" t="s">
        <v>377</v>
      </c>
      <c r="B66" s="848" t="s">
        <v>106</v>
      </c>
      <c r="C66" s="848" t="s">
        <v>116</v>
      </c>
      <c r="D66" s="848" t="s">
        <v>485</v>
      </c>
      <c r="E66" s="848" t="s">
        <v>345</v>
      </c>
      <c r="F66" s="570"/>
      <c r="G66" s="570"/>
      <c r="H66" s="850">
        <f>H59+H16</f>
        <v>10</v>
      </c>
      <c r="I66" s="638">
        <f>SUM(I16:I64)</f>
        <v>0</v>
      </c>
    </row>
    <row r="67" spans="1:9" x14ac:dyDescent="0.25">
      <c r="A67" s="862"/>
      <c r="B67" s="863"/>
      <c r="C67" s="863"/>
      <c r="D67" s="863"/>
      <c r="E67" s="863"/>
      <c r="F67" s="863"/>
      <c r="G67" s="863"/>
      <c r="H67" s="86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A6:H6"/>
    <mergeCell ref="A7:H7"/>
    <mergeCell ref="E8:F8"/>
    <mergeCell ref="G8:H8"/>
    <mergeCell ref="E9:F9"/>
    <mergeCell ref="G9:H9"/>
    <mergeCell ref="A9:D9"/>
    <mergeCell ref="E10:F10"/>
    <mergeCell ref="G10:H10"/>
    <mergeCell ref="E11:F11"/>
    <mergeCell ref="G11:H11"/>
    <mergeCell ref="A14:A15"/>
    <mergeCell ref="B14:G14"/>
    <mergeCell ref="H14:H15"/>
    <mergeCell ref="A10:D10"/>
    <mergeCell ref="A12:H12"/>
  </mergeCells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23"/>
  <sheetViews>
    <sheetView workbookViewId="0">
      <selection activeCell="L9" sqref="L9"/>
    </sheetView>
  </sheetViews>
  <sheetFormatPr defaultRowHeight="15" x14ac:dyDescent="0.25"/>
  <cols>
    <col min="1" max="1" width="4" style="145" customWidth="1"/>
    <col min="2" max="2" width="10.5703125" style="145" customWidth="1"/>
    <col min="3" max="3" width="11.140625" style="145" customWidth="1"/>
    <col min="4" max="4" width="8.7109375" style="145" customWidth="1"/>
    <col min="5" max="5" width="8" style="145" customWidth="1"/>
    <col min="6" max="6" width="10.28515625" style="145" customWidth="1"/>
    <col min="7" max="7" width="7.140625" style="145" customWidth="1"/>
    <col min="8" max="9" width="6.85546875" style="145" customWidth="1"/>
    <col min="10" max="10" width="11.7109375" style="145" customWidth="1"/>
    <col min="11" max="11" width="11.5703125" style="145" customWidth="1"/>
    <col min="12" max="12" width="9.140625" style="145"/>
    <col min="13" max="13" width="10.5703125" style="145" bestFit="1" customWidth="1"/>
    <col min="14" max="14" width="9.140625" style="145"/>
    <col min="15" max="15" width="12.140625" style="145" customWidth="1"/>
    <col min="16" max="257" width="9.140625" style="145"/>
    <col min="258" max="258" width="4" style="145" customWidth="1"/>
    <col min="259" max="259" width="10.5703125" style="145" customWidth="1"/>
    <col min="260" max="260" width="11.140625" style="145" customWidth="1"/>
    <col min="261" max="261" width="8.7109375" style="145" customWidth="1"/>
    <col min="262" max="262" width="8" style="145" customWidth="1"/>
    <col min="263" max="263" width="10.28515625" style="145" customWidth="1"/>
    <col min="264" max="264" width="7.140625" style="145" customWidth="1"/>
    <col min="265" max="265" width="6.85546875" style="145" customWidth="1"/>
    <col min="266" max="266" width="11.7109375" style="145" customWidth="1"/>
    <col min="267" max="267" width="11.5703125" style="145" customWidth="1"/>
    <col min="268" max="268" width="9.140625" style="145"/>
    <col min="269" max="269" width="10.5703125" style="145" bestFit="1" customWidth="1"/>
    <col min="270" max="270" width="9.140625" style="145"/>
    <col min="271" max="271" width="12.140625" style="145" customWidth="1"/>
    <col min="272" max="513" width="9.140625" style="145"/>
    <col min="514" max="514" width="4" style="145" customWidth="1"/>
    <col min="515" max="515" width="10.5703125" style="145" customWidth="1"/>
    <col min="516" max="516" width="11.140625" style="145" customWidth="1"/>
    <col min="517" max="517" width="8.7109375" style="145" customWidth="1"/>
    <col min="518" max="518" width="8" style="145" customWidth="1"/>
    <col min="519" max="519" width="10.28515625" style="145" customWidth="1"/>
    <col min="520" max="520" width="7.140625" style="145" customWidth="1"/>
    <col min="521" max="521" width="6.85546875" style="145" customWidth="1"/>
    <col min="522" max="522" width="11.7109375" style="145" customWidth="1"/>
    <col min="523" max="523" width="11.5703125" style="145" customWidth="1"/>
    <col min="524" max="524" width="9.140625" style="145"/>
    <col min="525" max="525" width="10.5703125" style="145" bestFit="1" customWidth="1"/>
    <col min="526" max="526" width="9.140625" style="145"/>
    <col min="527" max="527" width="12.140625" style="145" customWidth="1"/>
    <col min="528" max="769" width="9.140625" style="145"/>
    <col min="770" max="770" width="4" style="145" customWidth="1"/>
    <col min="771" max="771" width="10.5703125" style="145" customWidth="1"/>
    <col min="772" max="772" width="11.140625" style="145" customWidth="1"/>
    <col min="773" max="773" width="8.7109375" style="145" customWidth="1"/>
    <col min="774" max="774" width="8" style="145" customWidth="1"/>
    <col min="775" max="775" width="10.28515625" style="145" customWidth="1"/>
    <col min="776" max="776" width="7.140625" style="145" customWidth="1"/>
    <col min="777" max="777" width="6.85546875" style="145" customWidth="1"/>
    <col min="778" max="778" width="11.7109375" style="145" customWidth="1"/>
    <col min="779" max="779" width="11.5703125" style="145" customWidth="1"/>
    <col min="780" max="780" width="9.140625" style="145"/>
    <col min="781" max="781" width="10.5703125" style="145" bestFit="1" customWidth="1"/>
    <col min="782" max="782" width="9.140625" style="145"/>
    <col min="783" max="783" width="12.140625" style="145" customWidth="1"/>
    <col min="784" max="1025" width="9.140625" style="145"/>
    <col min="1026" max="1026" width="4" style="145" customWidth="1"/>
    <col min="1027" max="1027" width="10.5703125" style="145" customWidth="1"/>
    <col min="1028" max="1028" width="11.140625" style="145" customWidth="1"/>
    <col min="1029" max="1029" width="8.7109375" style="145" customWidth="1"/>
    <col min="1030" max="1030" width="8" style="145" customWidth="1"/>
    <col min="1031" max="1031" width="10.28515625" style="145" customWidth="1"/>
    <col min="1032" max="1032" width="7.140625" style="145" customWidth="1"/>
    <col min="1033" max="1033" width="6.85546875" style="145" customWidth="1"/>
    <col min="1034" max="1034" width="11.7109375" style="145" customWidth="1"/>
    <col min="1035" max="1035" width="11.5703125" style="145" customWidth="1"/>
    <col min="1036" max="1036" width="9.140625" style="145"/>
    <col min="1037" max="1037" width="10.5703125" style="145" bestFit="1" customWidth="1"/>
    <col min="1038" max="1038" width="9.140625" style="145"/>
    <col min="1039" max="1039" width="12.140625" style="145" customWidth="1"/>
    <col min="1040" max="1281" width="9.140625" style="145"/>
    <col min="1282" max="1282" width="4" style="145" customWidth="1"/>
    <col min="1283" max="1283" width="10.5703125" style="145" customWidth="1"/>
    <col min="1284" max="1284" width="11.140625" style="145" customWidth="1"/>
    <col min="1285" max="1285" width="8.7109375" style="145" customWidth="1"/>
    <col min="1286" max="1286" width="8" style="145" customWidth="1"/>
    <col min="1287" max="1287" width="10.28515625" style="145" customWidth="1"/>
    <col min="1288" max="1288" width="7.140625" style="145" customWidth="1"/>
    <col min="1289" max="1289" width="6.85546875" style="145" customWidth="1"/>
    <col min="1290" max="1290" width="11.7109375" style="145" customWidth="1"/>
    <col min="1291" max="1291" width="11.5703125" style="145" customWidth="1"/>
    <col min="1292" max="1292" width="9.140625" style="145"/>
    <col min="1293" max="1293" width="10.5703125" style="145" bestFit="1" customWidth="1"/>
    <col min="1294" max="1294" width="9.140625" style="145"/>
    <col min="1295" max="1295" width="12.140625" style="145" customWidth="1"/>
    <col min="1296" max="1537" width="9.140625" style="145"/>
    <col min="1538" max="1538" width="4" style="145" customWidth="1"/>
    <col min="1539" max="1539" width="10.5703125" style="145" customWidth="1"/>
    <col min="1540" max="1540" width="11.140625" style="145" customWidth="1"/>
    <col min="1541" max="1541" width="8.7109375" style="145" customWidth="1"/>
    <col min="1542" max="1542" width="8" style="145" customWidth="1"/>
    <col min="1543" max="1543" width="10.28515625" style="145" customWidth="1"/>
    <col min="1544" max="1544" width="7.140625" style="145" customWidth="1"/>
    <col min="1545" max="1545" width="6.85546875" style="145" customWidth="1"/>
    <col min="1546" max="1546" width="11.7109375" style="145" customWidth="1"/>
    <col min="1547" max="1547" width="11.5703125" style="145" customWidth="1"/>
    <col min="1548" max="1548" width="9.140625" style="145"/>
    <col min="1549" max="1549" width="10.5703125" style="145" bestFit="1" customWidth="1"/>
    <col min="1550" max="1550" width="9.140625" style="145"/>
    <col min="1551" max="1551" width="12.140625" style="145" customWidth="1"/>
    <col min="1552" max="1793" width="9.140625" style="145"/>
    <col min="1794" max="1794" width="4" style="145" customWidth="1"/>
    <col min="1795" max="1795" width="10.5703125" style="145" customWidth="1"/>
    <col min="1796" max="1796" width="11.140625" style="145" customWidth="1"/>
    <col min="1797" max="1797" width="8.7109375" style="145" customWidth="1"/>
    <col min="1798" max="1798" width="8" style="145" customWidth="1"/>
    <col min="1799" max="1799" width="10.28515625" style="145" customWidth="1"/>
    <col min="1800" max="1800" width="7.140625" style="145" customWidth="1"/>
    <col min="1801" max="1801" width="6.85546875" style="145" customWidth="1"/>
    <col min="1802" max="1802" width="11.7109375" style="145" customWidth="1"/>
    <col min="1803" max="1803" width="11.5703125" style="145" customWidth="1"/>
    <col min="1804" max="1804" width="9.140625" style="145"/>
    <col min="1805" max="1805" width="10.5703125" style="145" bestFit="1" customWidth="1"/>
    <col min="1806" max="1806" width="9.140625" style="145"/>
    <col min="1807" max="1807" width="12.140625" style="145" customWidth="1"/>
    <col min="1808" max="2049" width="9.140625" style="145"/>
    <col min="2050" max="2050" width="4" style="145" customWidth="1"/>
    <col min="2051" max="2051" width="10.5703125" style="145" customWidth="1"/>
    <col min="2052" max="2052" width="11.140625" style="145" customWidth="1"/>
    <col min="2053" max="2053" width="8.7109375" style="145" customWidth="1"/>
    <col min="2054" max="2054" width="8" style="145" customWidth="1"/>
    <col min="2055" max="2055" width="10.28515625" style="145" customWidth="1"/>
    <col min="2056" max="2056" width="7.140625" style="145" customWidth="1"/>
    <col min="2057" max="2057" width="6.85546875" style="145" customWidth="1"/>
    <col min="2058" max="2058" width="11.7109375" style="145" customWidth="1"/>
    <col min="2059" max="2059" width="11.5703125" style="145" customWidth="1"/>
    <col min="2060" max="2060" width="9.140625" style="145"/>
    <col min="2061" max="2061" width="10.5703125" style="145" bestFit="1" customWidth="1"/>
    <col min="2062" max="2062" width="9.140625" style="145"/>
    <col min="2063" max="2063" width="12.140625" style="145" customWidth="1"/>
    <col min="2064" max="2305" width="9.140625" style="145"/>
    <col min="2306" max="2306" width="4" style="145" customWidth="1"/>
    <col min="2307" max="2307" width="10.5703125" style="145" customWidth="1"/>
    <col min="2308" max="2308" width="11.140625" style="145" customWidth="1"/>
    <col min="2309" max="2309" width="8.7109375" style="145" customWidth="1"/>
    <col min="2310" max="2310" width="8" style="145" customWidth="1"/>
    <col min="2311" max="2311" width="10.28515625" style="145" customWidth="1"/>
    <col min="2312" max="2312" width="7.140625" style="145" customWidth="1"/>
    <col min="2313" max="2313" width="6.85546875" style="145" customWidth="1"/>
    <col min="2314" max="2314" width="11.7109375" style="145" customWidth="1"/>
    <col min="2315" max="2315" width="11.5703125" style="145" customWidth="1"/>
    <col min="2316" max="2316" width="9.140625" style="145"/>
    <col min="2317" max="2317" width="10.5703125" style="145" bestFit="1" customWidth="1"/>
    <col min="2318" max="2318" width="9.140625" style="145"/>
    <col min="2319" max="2319" width="12.140625" style="145" customWidth="1"/>
    <col min="2320" max="2561" width="9.140625" style="145"/>
    <col min="2562" max="2562" width="4" style="145" customWidth="1"/>
    <col min="2563" max="2563" width="10.5703125" style="145" customWidth="1"/>
    <col min="2564" max="2564" width="11.140625" style="145" customWidth="1"/>
    <col min="2565" max="2565" width="8.7109375" style="145" customWidth="1"/>
    <col min="2566" max="2566" width="8" style="145" customWidth="1"/>
    <col min="2567" max="2567" width="10.28515625" style="145" customWidth="1"/>
    <col min="2568" max="2568" width="7.140625" style="145" customWidth="1"/>
    <col min="2569" max="2569" width="6.85546875" style="145" customWidth="1"/>
    <col min="2570" max="2570" width="11.7109375" style="145" customWidth="1"/>
    <col min="2571" max="2571" width="11.5703125" style="145" customWidth="1"/>
    <col min="2572" max="2572" width="9.140625" style="145"/>
    <col min="2573" max="2573" width="10.5703125" style="145" bestFit="1" customWidth="1"/>
    <col min="2574" max="2574" width="9.140625" style="145"/>
    <col min="2575" max="2575" width="12.140625" style="145" customWidth="1"/>
    <col min="2576" max="2817" width="9.140625" style="145"/>
    <col min="2818" max="2818" width="4" style="145" customWidth="1"/>
    <col min="2819" max="2819" width="10.5703125" style="145" customWidth="1"/>
    <col min="2820" max="2820" width="11.140625" style="145" customWidth="1"/>
    <col min="2821" max="2821" width="8.7109375" style="145" customWidth="1"/>
    <col min="2822" max="2822" width="8" style="145" customWidth="1"/>
    <col min="2823" max="2823" width="10.28515625" style="145" customWidth="1"/>
    <col min="2824" max="2824" width="7.140625" style="145" customWidth="1"/>
    <col min="2825" max="2825" width="6.85546875" style="145" customWidth="1"/>
    <col min="2826" max="2826" width="11.7109375" style="145" customWidth="1"/>
    <col min="2827" max="2827" width="11.5703125" style="145" customWidth="1"/>
    <col min="2828" max="2828" width="9.140625" style="145"/>
    <col min="2829" max="2829" width="10.5703125" style="145" bestFit="1" customWidth="1"/>
    <col min="2830" max="2830" width="9.140625" style="145"/>
    <col min="2831" max="2831" width="12.140625" style="145" customWidth="1"/>
    <col min="2832" max="3073" width="9.140625" style="145"/>
    <col min="3074" max="3074" width="4" style="145" customWidth="1"/>
    <col min="3075" max="3075" width="10.5703125" style="145" customWidth="1"/>
    <col min="3076" max="3076" width="11.140625" style="145" customWidth="1"/>
    <col min="3077" max="3077" width="8.7109375" style="145" customWidth="1"/>
    <col min="3078" max="3078" width="8" style="145" customWidth="1"/>
    <col min="3079" max="3079" width="10.28515625" style="145" customWidth="1"/>
    <col min="3080" max="3080" width="7.140625" style="145" customWidth="1"/>
    <col min="3081" max="3081" width="6.85546875" style="145" customWidth="1"/>
    <col min="3082" max="3082" width="11.7109375" style="145" customWidth="1"/>
    <col min="3083" max="3083" width="11.5703125" style="145" customWidth="1"/>
    <col min="3084" max="3084" width="9.140625" style="145"/>
    <col min="3085" max="3085" width="10.5703125" style="145" bestFit="1" customWidth="1"/>
    <col min="3086" max="3086" width="9.140625" style="145"/>
    <col min="3087" max="3087" width="12.140625" style="145" customWidth="1"/>
    <col min="3088" max="3329" width="9.140625" style="145"/>
    <col min="3330" max="3330" width="4" style="145" customWidth="1"/>
    <col min="3331" max="3331" width="10.5703125" style="145" customWidth="1"/>
    <col min="3332" max="3332" width="11.140625" style="145" customWidth="1"/>
    <col min="3333" max="3333" width="8.7109375" style="145" customWidth="1"/>
    <col min="3334" max="3334" width="8" style="145" customWidth="1"/>
    <col min="3335" max="3335" width="10.28515625" style="145" customWidth="1"/>
    <col min="3336" max="3336" width="7.140625" style="145" customWidth="1"/>
    <col min="3337" max="3337" width="6.85546875" style="145" customWidth="1"/>
    <col min="3338" max="3338" width="11.7109375" style="145" customWidth="1"/>
    <col min="3339" max="3339" width="11.5703125" style="145" customWidth="1"/>
    <col min="3340" max="3340" width="9.140625" style="145"/>
    <col min="3341" max="3341" width="10.5703125" style="145" bestFit="1" customWidth="1"/>
    <col min="3342" max="3342" width="9.140625" style="145"/>
    <col min="3343" max="3343" width="12.140625" style="145" customWidth="1"/>
    <col min="3344" max="3585" width="9.140625" style="145"/>
    <col min="3586" max="3586" width="4" style="145" customWidth="1"/>
    <col min="3587" max="3587" width="10.5703125" style="145" customWidth="1"/>
    <col min="3588" max="3588" width="11.140625" style="145" customWidth="1"/>
    <col min="3589" max="3589" width="8.7109375" style="145" customWidth="1"/>
    <col min="3590" max="3590" width="8" style="145" customWidth="1"/>
    <col min="3591" max="3591" width="10.28515625" style="145" customWidth="1"/>
    <col min="3592" max="3592" width="7.140625" style="145" customWidth="1"/>
    <col min="3593" max="3593" width="6.85546875" style="145" customWidth="1"/>
    <col min="3594" max="3594" width="11.7109375" style="145" customWidth="1"/>
    <col min="3595" max="3595" width="11.5703125" style="145" customWidth="1"/>
    <col min="3596" max="3596" width="9.140625" style="145"/>
    <col min="3597" max="3597" width="10.5703125" style="145" bestFit="1" customWidth="1"/>
    <col min="3598" max="3598" width="9.140625" style="145"/>
    <col min="3599" max="3599" width="12.140625" style="145" customWidth="1"/>
    <col min="3600" max="3841" width="9.140625" style="145"/>
    <col min="3842" max="3842" width="4" style="145" customWidth="1"/>
    <col min="3843" max="3843" width="10.5703125" style="145" customWidth="1"/>
    <col min="3844" max="3844" width="11.140625" style="145" customWidth="1"/>
    <col min="3845" max="3845" width="8.7109375" style="145" customWidth="1"/>
    <col min="3846" max="3846" width="8" style="145" customWidth="1"/>
    <col min="3847" max="3847" width="10.28515625" style="145" customWidth="1"/>
    <col min="3848" max="3848" width="7.140625" style="145" customWidth="1"/>
    <col min="3849" max="3849" width="6.85546875" style="145" customWidth="1"/>
    <col min="3850" max="3850" width="11.7109375" style="145" customWidth="1"/>
    <col min="3851" max="3851" width="11.5703125" style="145" customWidth="1"/>
    <col min="3852" max="3852" width="9.140625" style="145"/>
    <col min="3853" max="3853" width="10.5703125" style="145" bestFit="1" customWidth="1"/>
    <col min="3854" max="3854" width="9.140625" style="145"/>
    <col min="3855" max="3855" width="12.140625" style="145" customWidth="1"/>
    <col min="3856" max="4097" width="9.140625" style="145"/>
    <col min="4098" max="4098" width="4" style="145" customWidth="1"/>
    <col min="4099" max="4099" width="10.5703125" style="145" customWidth="1"/>
    <col min="4100" max="4100" width="11.140625" style="145" customWidth="1"/>
    <col min="4101" max="4101" width="8.7109375" style="145" customWidth="1"/>
    <col min="4102" max="4102" width="8" style="145" customWidth="1"/>
    <col min="4103" max="4103" width="10.28515625" style="145" customWidth="1"/>
    <col min="4104" max="4104" width="7.140625" style="145" customWidth="1"/>
    <col min="4105" max="4105" width="6.85546875" style="145" customWidth="1"/>
    <col min="4106" max="4106" width="11.7109375" style="145" customWidth="1"/>
    <col min="4107" max="4107" width="11.5703125" style="145" customWidth="1"/>
    <col min="4108" max="4108" width="9.140625" style="145"/>
    <col min="4109" max="4109" width="10.5703125" style="145" bestFit="1" customWidth="1"/>
    <col min="4110" max="4110" width="9.140625" style="145"/>
    <col min="4111" max="4111" width="12.140625" style="145" customWidth="1"/>
    <col min="4112" max="4353" width="9.140625" style="145"/>
    <col min="4354" max="4354" width="4" style="145" customWidth="1"/>
    <col min="4355" max="4355" width="10.5703125" style="145" customWidth="1"/>
    <col min="4356" max="4356" width="11.140625" style="145" customWidth="1"/>
    <col min="4357" max="4357" width="8.7109375" style="145" customWidth="1"/>
    <col min="4358" max="4358" width="8" style="145" customWidth="1"/>
    <col min="4359" max="4359" width="10.28515625" style="145" customWidth="1"/>
    <col min="4360" max="4360" width="7.140625" style="145" customWidth="1"/>
    <col min="4361" max="4361" width="6.85546875" style="145" customWidth="1"/>
    <col min="4362" max="4362" width="11.7109375" style="145" customWidth="1"/>
    <col min="4363" max="4363" width="11.5703125" style="145" customWidth="1"/>
    <col min="4364" max="4364" width="9.140625" style="145"/>
    <col min="4365" max="4365" width="10.5703125" style="145" bestFit="1" customWidth="1"/>
    <col min="4366" max="4366" width="9.140625" style="145"/>
    <col min="4367" max="4367" width="12.140625" style="145" customWidth="1"/>
    <col min="4368" max="4609" width="9.140625" style="145"/>
    <col min="4610" max="4610" width="4" style="145" customWidth="1"/>
    <col min="4611" max="4611" width="10.5703125" style="145" customWidth="1"/>
    <col min="4612" max="4612" width="11.140625" style="145" customWidth="1"/>
    <col min="4613" max="4613" width="8.7109375" style="145" customWidth="1"/>
    <col min="4614" max="4614" width="8" style="145" customWidth="1"/>
    <col min="4615" max="4615" width="10.28515625" style="145" customWidth="1"/>
    <col min="4616" max="4616" width="7.140625" style="145" customWidth="1"/>
    <col min="4617" max="4617" width="6.85546875" style="145" customWidth="1"/>
    <col min="4618" max="4618" width="11.7109375" style="145" customWidth="1"/>
    <col min="4619" max="4619" width="11.5703125" style="145" customWidth="1"/>
    <col min="4620" max="4620" width="9.140625" style="145"/>
    <col min="4621" max="4621" width="10.5703125" style="145" bestFit="1" customWidth="1"/>
    <col min="4622" max="4622" width="9.140625" style="145"/>
    <col min="4623" max="4623" width="12.140625" style="145" customWidth="1"/>
    <col min="4624" max="4865" width="9.140625" style="145"/>
    <col min="4866" max="4866" width="4" style="145" customWidth="1"/>
    <col min="4867" max="4867" width="10.5703125" style="145" customWidth="1"/>
    <col min="4868" max="4868" width="11.140625" style="145" customWidth="1"/>
    <col min="4869" max="4869" width="8.7109375" style="145" customWidth="1"/>
    <col min="4870" max="4870" width="8" style="145" customWidth="1"/>
    <col min="4871" max="4871" width="10.28515625" style="145" customWidth="1"/>
    <col min="4872" max="4872" width="7.140625" style="145" customWidth="1"/>
    <col min="4873" max="4873" width="6.85546875" style="145" customWidth="1"/>
    <col min="4874" max="4874" width="11.7109375" style="145" customWidth="1"/>
    <col min="4875" max="4875" width="11.5703125" style="145" customWidth="1"/>
    <col min="4876" max="4876" width="9.140625" style="145"/>
    <col min="4877" max="4877" width="10.5703125" style="145" bestFit="1" customWidth="1"/>
    <col min="4878" max="4878" width="9.140625" style="145"/>
    <col min="4879" max="4879" width="12.140625" style="145" customWidth="1"/>
    <col min="4880" max="5121" width="9.140625" style="145"/>
    <col min="5122" max="5122" width="4" style="145" customWidth="1"/>
    <col min="5123" max="5123" width="10.5703125" style="145" customWidth="1"/>
    <col min="5124" max="5124" width="11.140625" style="145" customWidth="1"/>
    <col min="5125" max="5125" width="8.7109375" style="145" customWidth="1"/>
    <col min="5126" max="5126" width="8" style="145" customWidth="1"/>
    <col min="5127" max="5127" width="10.28515625" style="145" customWidth="1"/>
    <col min="5128" max="5128" width="7.140625" style="145" customWidth="1"/>
    <col min="5129" max="5129" width="6.85546875" style="145" customWidth="1"/>
    <col min="5130" max="5130" width="11.7109375" style="145" customWidth="1"/>
    <col min="5131" max="5131" width="11.5703125" style="145" customWidth="1"/>
    <col min="5132" max="5132" width="9.140625" style="145"/>
    <col min="5133" max="5133" width="10.5703125" style="145" bestFit="1" customWidth="1"/>
    <col min="5134" max="5134" width="9.140625" style="145"/>
    <col min="5135" max="5135" width="12.140625" style="145" customWidth="1"/>
    <col min="5136" max="5377" width="9.140625" style="145"/>
    <col min="5378" max="5378" width="4" style="145" customWidth="1"/>
    <col min="5379" max="5379" width="10.5703125" style="145" customWidth="1"/>
    <col min="5380" max="5380" width="11.140625" style="145" customWidth="1"/>
    <col min="5381" max="5381" width="8.7109375" style="145" customWidth="1"/>
    <col min="5382" max="5382" width="8" style="145" customWidth="1"/>
    <col min="5383" max="5383" width="10.28515625" style="145" customWidth="1"/>
    <col min="5384" max="5384" width="7.140625" style="145" customWidth="1"/>
    <col min="5385" max="5385" width="6.85546875" style="145" customWidth="1"/>
    <col min="5386" max="5386" width="11.7109375" style="145" customWidth="1"/>
    <col min="5387" max="5387" width="11.5703125" style="145" customWidth="1"/>
    <col min="5388" max="5388" width="9.140625" style="145"/>
    <col min="5389" max="5389" width="10.5703125" style="145" bestFit="1" customWidth="1"/>
    <col min="5390" max="5390" width="9.140625" style="145"/>
    <col min="5391" max="5391" width="12.140625" style="145" customWidth="1"/>
    <col min="5392" max="5633" width="9.140625" style="145"/>
    <col min="5634" max="5634" width="4" style="145" customWidth="1"/>
    <col min="5635" max="5635" width="10.5703125" style="145" customWidth="1"/>
    <col min="5636" max="5636" width="11.140625" style="145" customWidth="1"/>
    <col min="5637" max="5637" width="8.7109375" style="145" customWidth="1"/>
    <col min="5638" max="5638" width="8" style="145" customWidth="1"/>
    <col min="5639" max="5639" width="10.28515625" style="145" customWidth="1"/>
    <col min="5640" max="5640" width="7.140625" style="145" customWidth="1"/>
    <col min="5641" max="5641" width="6.85546875" style="145" customWidth="1"/>
    <col min="5642" max="5642" width="11.7109375" style="145" customWidth="1"/>
    <col min="5643" max="5643" width="11.5703125" style="145" customWidth="1"/>
    <col min="5644" max="5644" width="9.140625" style="145"/>
    <col min="5645" max="5645" width="10.5703125" style="145" bestFit="1" customWidth="1"/>
    <col min="5646" max="5646" width="9.140625" style="145"/>
    <col min="5647" max="5647" width="12.140625" style="145" customWidth="1"/>
    <col min="5648" max="5889" width="9.140625" style="145"/>
    <col min="5890" max="5890" width="4" style="145" customWidth="1"/>
    <col min="5891" max="5891" width="10.5703125" style="145" customWidth="1"/>
    <col min="5892" max="5892" width="11.140625" style="145" customWidth="1"/>
    <col min="5893" max="5893" width="8.7109375" style="145" customWidth="1"/>
    <col min="5894" max="5894" width="8" style="145" customWidth="1"/>
    <col min="5895" max="5895" width="10.28515625" style="145" customWidth="1"/>
    <col min="5896" max="5896" width="7.140625" style="145" customWidth="1"/>
    <col min="5897" max="5897" width="6.85546875" style="145" customWidth="1"/>
    <col min="5898" max="5898" width="11.7109375" style="145" customWidth="1"/>
    <col min="5899" max="5899" width="11.5703125" style="145" customWidth="1"/>
    <col min="5900" max="5900" width="9.140625" style="145"/>
    <col min="5901" max="5901" width="10.5703125" style="145" bestFit="1" customWidth="1"/>
    <col min="5902" max="5902" width="9.140625" style="145"/>
    <col min="5903" max="5903" width="12.140625" style="145" customWidth="1"/>
    <col min="5904" max="6145" width="9.140625" style="145"/>
    <col min="6146" max="6146" width="4" style="145" customWidth="1"/>
    <col min="6147" max="6147" width="10.5703125" style="145" customWidth="1"/>
    <col min="6148" max="6148" width="11.140625" style="145" customWidth="1"/>
    <col min="6149" max="6149" width="8.7109375" style="145" customWidth="1"/>
    <col min="6150" max="6150" width="8" style="145" customWidth="1"/>
    <col min="6151" max="6151" width="10.28515625" style="145" customWidth="1"/>
    <col min="6152" max="6152" width="7.140625" style="145" customWidth="1"/>
    <col min="6153" max="6153" width="6.85546875" style="145" customWidth="1"/>
    <col min="6154" max="6154" width="11.7109375" style="145" customWidth="1"/>
    <col min="6155" max="6155" width="11.5703125" style="145" customWidth="1"/>
    <col min="6156" max="6156" width="9.140625" style="145"/>
    <col min="6157" max="6157" width="10.5703125" style="145" bestFit="1" customWidth="1"/>
    <col min="6158" max="6158" width="9.140625" style="145"/>
    <col min="6159" max="6159" width="12.140625" style="145" customWidth="1"/>
    <col min="6160" max="6401" width="9.140625" style="145"/>
    <col min="6402" max="6402" width="4" style="145" customWidth="1"/>
    <col min="6403" max="6403" width="10.5703125" style="145" customWidth="1"/>
    <col min="6404" max="6404" width="11.140625" style="145" customWidth="1"/>
    <col min="6405" max="6405" width="8.7109375" style="145" customWidth="1"/>
    <col min="6406" max="6406" width="8" style="145" customWidth="1"/>
    <col min="6407" max="6407" width="10.28515625" style="145" customWidth="1"/>
    <col min="6408" max="6408" width="7.140625" style="145" customWidth="1"/>
    <col min="6409" max="6409" width="6.85546875" style="145" customWidth="1"/>
    <col min="6410" max="6410" width="11.7109375" style="145" customWidth="1"/>
    <col min="6411" max="6411" width="11.5703125" style="145" customWidth="1"/>
    <col min="6412" max="6412" width="9.140625" style="145"/>
    <col min="6413" max="6413" width="10.5703125" style="145" bestFit="1" customWidth="1"/>
    <col min="6414" max="6414" width="9.140625" style="145"/>
    <col min="6415" max="6415" width="12.140625" style="145" customWidth="1"/>
    <col min="6416" max="6657" width="9.140625" style="145"/>
    <col min="6658" max="6658" width="4" style="145" customWidth="1"/>
    <col min="6659" max="6659" width="10.5703125" style="145" customWidth="1"/>
    <col min="6660" max="6660" width="11.140625" style="145" customWidth="1"/>
    <col min="6661" max="6661" width="8.7109375" style="145" customWidth="1"/>
    <col min="6662" max="6662" width="8" style="145" customWidth="1"/>
    <col min="6663" max="6663" width="10.28515625" style="145" customWidth="1"/>
    <col min="6664" max="6664" width="7.140625" style="145" customWidth="1"/>
    <col min="6665" max="6665" width="6.85546875" style="145" customWidth="1"/>
    <col min="6666" max="6666" width="11.7109375" style="145" customWidth="1"/>
    <col min="6667" max="6667" width="11.5703125" style="145" customWidth="1"/>
    <col min="6668" max="6668" width="9.140625" style="145"/>
    <col min="6669" max="6669" width="10.5703125" style="145" bestFit="1" customWidth="1"/>
    <col min="6670" max="6670" width="9.140625" style="145"/>
    <col min="6671" max="6671" width="12.140625" style="145" customWidth="1"/>
    <col min="6672" max="6913" width="9.140625" style="145"/>
    <col min="6914" max="6914" width="4" style="145" customWidth="1"/>
    <col min="6915" max="6915" width="10.5703125" style="145" customWidth="1"/>
    <col min="6916" max="6916" width="11.140625" style="145" customWidth="1"/>
    <col min="6917" max="6917" width="8.7109375" style="145" customWidth="1"/>
    <col min="6918" max="6918" width="8" style="145" customWidth="1"/>
    <col min="6919" max="6919" width="10.28515625" style="145" customWidth="1"/>
    <col min="6920" max="6920" width="7.140625" style="145" customWidth="1"/>
    <col min="6921" max="6921" width="6.85546875" style="145" customWidth="1"/>
    <col min="6922" max="6922" width="11.7109375" style="145" customWidth="1"/>
    <col min="6923" max="6923" width="11.5703125" style="145" customWidth="1"/>
    <col min="6924" max="6924" width="9.140625" style="145"/>
    <col min="6925" max="6925" width="10.5703125" style="145" bestFit="1" customWidth="1"/>
    <col min="6926" max="6926" width="9.140625" style="145"/>
    <col min="6927" max="6927" width="12.140625" style="145" customWidth="1"/>
    <col min="6928" max="7169" width="9.140625" style="145"/>
    <col min="7170" max="7170" width="4" style="145" customWidth="1"/>
    <col min="7171" max="7171" width="10.5703125" style="145" customWidth="1"/>
    <col min="7172" max="7172" width="11.140625" style="145" customWidth="1"/>
    <col min="7173" max="7173" width="8.7109375" style="145" customWidth="1"/>
    <col min="7174" max="7174" width="8" style="145" customWidth="1"/>
    <col min="7175" max="7175" width="10.28515625" style="145" customWidth="1"/>
    <col min="7176" max="7176" width="7.140625" style="145" customWidth="1"/>
    <col min="7177" max="7177" width="6.85546875" style="145" customWidth="1"/>
    <col min="7178" max="7178" width="11.7109375" style="145" customWidth="1"/>
    <col min="7179" max="7179" width="11.5703125" style="145" customWidth="1"/>
    <col min="7180" max="7180" width="9.140625" style="145"/>
    <col min="7181" max="7181" width="10.5703125" style="145" bestFit="1" customWidth="1"/>
    <col min="7182" max="7182" width="9.140625" style="145"/>
    <col min="7183" max="7183" width="12.140625" style="145" customWidth="1"/>
    <col min="7184" max="7425" width="9.140625" style="145"/>
    <col min="7426" max="7426" width="4" style="145" customWidth="1"/>
    <col min="7427" max="7427" width="10.5703125" style="145" customWidth="1"/>
    <col min="7428" max="7428" width="11.140625" style="145" customWidth="1"/>
    <col min="7429" max="7429" width="8.7109375" style="145" customWidth="1"/>
    <col min="7430" max="7430" width="8" style="145" customWidth="1"/>
    <col min="7431" max="7431" width="10.28515625" style="145" customWidth="1"/>
    <col min="7432" max="7432" width="7.140625" style="145" customWidth="1"/>
    <col min="7433" max="7433" width="6.85546875" style="145" customWidth="1"/>
    <col min="7434" max="7434" width="11.7109375" style="145" customWidth="1"/>
    <col min="7435" max="7435" width="11.5703125" style="145" customWidth="1"/>
    <col min="7436" max="7436" width="9.140625" style="145"/>
    <col min="7437" max="7437" width="10.5703125" style="145" bestFit="1" customWidth="1"/>
    <col min="7438" max="7438" width="9.140625" style="145"/>
    <col min="7439" max="7439" width="12.140625" style="145" customWidth="1"/>
    <col min="7440" max="7681" width="9.140625" style="145"/>
    <col min="7682" max="7682" width="4" style="145" customWidth="1"/>
    <col min="7683" max="7683" width="10.5703125" style="145" customWidth="1"/>
    <col min="7684" max="7684" width="11.140625" style="145" customWidth="1"/>
    <col min="7685" max="7685" width="8.7109375" style="145" customWidth="1"/>
    <col min="7686" max="7686" width="8" style="145" customWidth="1"/>
    <col min="7687" max="7687" width="10.28515625" style="145" customWidth="1"/>
    <col min="7688" max="7688" width="7.140625" style="145" customWidth="1"/>
    <col min="7689" max="7689" width="6.85546875" style="145" customWidth="1"/>
    <col min="7690" max="7690" width="11.7109375" style="145" customWidth="1"/>
    <col min="7691" max="7691" width="11.5703125" style="145" customWidth="1"/>
    <col min="7692" max="7692" width="9.140625" style="145"/>
    <col min="7693" max="7693" width="10.5703125" style="145" bestFit="1" customWidth="1"/>
    <col min="7694" max="7694" width="9.140625" style="145"/>
    <col min="7695" max="7695" width="12.140625" style="145" customWidth="1"/>
    <col min="7696" max="7937" width="9.140625" style="145"/>
    <col min="7938" max="7938" width="4" style="145" customWidth="1"/>
    <col min="7939" max="7939" width="10.5703125" style="145" customWidth="1"/>
    <col min="7940" max="7940" width="11.140625" style="145" customWidth="1"/>
    <col min="7941" max="7941" width="8.7109375" style="145" customWidth="1"/>
    <col min="7942" max="7942" width="8" style="145" customWidth="1"/>
    <col min="7943" max="7943" width="10.28515625" style="145" customWidth="1"/>
    <col min="7944" max="7944" width="7.140625" style="145" customWidth="1"/>
    <col min="7945" max="7945" width="6.85546875" style="145" customWidth="1"/>
    <col min="7946" max="7946" width="11.7109375" style="145" customWidth="1"/>
    <col min="7947" max="7947" width="11.5703125" style="145" customWidth="1"/>
    <col min="7948" max="7948" width="9.140625" style="145"/>
    <col min="7949" max="7949" width="10.5703125" style="145" bestFit="1" customWidth="1"/>
    <col min="7950" max="7950" width="9.140625" style="145"/>
    <col min="7951" max="7951" width="12.140625" style="145" customWidth="1"/>
    <col min="7952" max="8193" width="9.140625" style="145"/>
    <col min="8194" max="8194" width="4" style="145" customWidth="1"/>
    <col min="8195" max="8195" width="10.5703125" style="145" customWidth="1"/>
    <col min="8196" max="8196" width="11.140625" style="145" customWidth="1"/>
    <col min="8197" max="8197" width="8.7109375" style="145" customWidth="1"/>
    <col min="8198" max="8198" width="8" style="145" customWidth="1"/>
    <col min="8199" max="8199" width="10.28515625" style="145" customWidth="1"/>
    <col min="8200" max="8200" width="7.140625" style="145" customWidth="1"/>
    <col min="8201" max="8201" width="6.85546875" style="145" customWidth="1"/>
    <col min="8202" max="8202" width="11.7109375" style="145" customWidth="1"/>
    <col min="8203" max="8203" width="11.5703125" style="145" customWidth="1"/>
    <col min="8204" max="8204" width="9.140625" style="145"/>
    <col min="8205" max="8205" width="10.5703125" style="145" bestFit="1" customWidth="1"/>
    <col min="8206" max="8206" width="9.140625" style="145"/>
    <col min="8207" max="8207" width="12.140625" style="145" customWidth="1"/>
    <col min="8208" max="8449" width="9.140625" style="145"/>
    <col min="8450" max="8450" width="4" style="145" customWidth="1"/>
    <col min="8451" max="8451" width="10.5703125" style="145" customWidth="1"/>
    <col min="8452" max="8452" width="11.140625" style="145" customWidth="1"/>
    <col min="8453" max="8453" width="8.7109375" style="145" customWidth="1"/>
    <col min="8454" max="8454" width="8" style="145" customWidth="1"/>
    <col min="8455" max="8455" width="10.28515625" style="145" customWidth="1"/>
    <col min="8456" max="8456" width="7.140625" style="145" customWidth="1"/>
    <col min="8457" max="8457" width="6.85546875" style="145" customWidth="1"/>
    <col min="8458" max="8458" width="11.7109375" style="145" customWidth="1"/>
    <col min="8459" max="8459" width="11.5703125" style="145" customWidth="1"/>
    <col min="8460" max="8460" width="9.140625" style="145"/>
    <col min="8461" max="8461" width="10.5703125" style="145" bestFit="1" customWidth="1"/>
    <col min="8462" max="8462" width="9.140625" style="145"/>
    <col min="8463" max="8463" width="12.140625" style="145" customWidth="1"/>
    <col min="8464" max="8705" width="9.140625" style="145"/>
    <col min="8706" max="8706" width="4" style="145" customWidth="1"/>
    <col min="8707" max="8707" width="10.5703125" style="145" customWidth="1"/>
    <col min="8708" max="8708" width="11.140625" style="145" customWidth="1"/>
    <col min="8709" max="8709" width="8.7109375" style="145" customWidth="1"/>
    <col min="8710" max="8710" width="8" style="145" customWidth="1"/>
    <col min="8711" max="8711" width="10.28515625" style="145" customWidth="1"/>
    <col min="8712" max="8712" width="7.140625" style="145" customWidth="1"/>
    <col min="8713" max="8713" width="6.85546875" style="145" customWidth="1"/>
    <col min="8714" max="8714" width="11.7109375" style="145" customWidth="1"/>
    <col min="8715" max="8715" width="11.5703125" style="145" customWidth="1"/>
    <col min="8716" max="8716" width="9.140625" style="145"/>
    <col min="8717" max="8717" width="10.5703125" style="145" bestFit="1" customWidth="1"/>
    <col min="8718" max="8718" width="9.140625" style="145"/>
    <col min="8719" max="8719" width="12.140625" style="145" customWidth="1"/>
    <col min="8720" max="8961" width="9.140625" style="145"/>
    <col min="8962" max="8962" width="4" style="145" customWidth="1"/>
    <col min="8963" max="8963" width="10.5703125" style="145" customWidth="1"/>
    <col min="8964" max="8964" width="11.140625" style="145" customWidth="1"/>
    <col min="8965" max="8965" width="8.7109375" style="145" customWidth="1"/>
    <col min="8966" max="8966" width="8" style="145" customWidth="1"/>
    <col min="8967" max="8967" width="10.28515625" style="145" customWidth="1"/>
    <col min="8968" max="8968" width="7.140625" style="145" customWidth="1"/>
    <col min="8969" max="8969" width="6.85546875" style="145" customWidth="1"/>
    <col min="8970" max="8970" width="11.7109375" style="145" customWidth="1"/>
    <col min="8971" max="8971" width="11.5703125" style="145" customWidth="1"/>
    <col min="8972" max="8972" width="9.140625" style="145"/>
    <col min="8973" max="8973" width="10.5703125" style="145" bestFit="1" customWidth="1"/>
    <col min="8974" max="8974" width="9.140625" style="145"/>
    <col min="8975" max="8975" width="12.140625" style="145" customWidth="1"/>
    <col min="8976" max="9217" width="9.140625" style="145"/>
    <col min="9218" max="9218" width="4" style="145" customWidth="1"/>
    <col min="9219" max="9219" width="10.5703125" style="145" customWidth="1"/>
    <col min="9220" max="9220" width="11.140625" style="145" customWidth="1"/>
    <col min="9221" max="9221" width="8.7109375" style="145" customWidth="1"/>
    <col min="9222" max="9222" width="8" style="145" customWidth="1"/>
    <col min="9223" max="9223" width="10.28515625" style="145" customWidth="1"/>
    <col min="9224" max="9224" width="7.140625" style="145" customWidth="1"/>
    <col min="9225" max="9225" width="6.85546875" style="145" customWidth="1"/>
    <col min="9226" max="9226" width="11.7109375" style="145" customWidth="1"/>
    <col min="9227" max="9227" width="11.5703125" style="145" customWidth="1"/>
    <col min="9228" max="9228" width="9.140625" style="145"/>
    <col min="9229" max="9229" width="10.5703125" style="145" bestFit="1" customWidth="1"/>
    <col min="9230" max="9230" width="9.140625" style="145"/>
    <col min="9231" max="9231" width="12.140625" style="145" customWidth="1"/>
    <col min="9232" max="9473" width="9.140625" style="145"/>
    <col min="9474" max="9474" width="4" style="145" customWidth="1"/>
    <col min="9475" max="9475" width="10.5703125" style="145" customWidth="1"/>
    <col min="9476" max="9476" width="11.140625" style="145" customWidth="1"/>
    <col min="9477" max="9477" width="8.7109375" style="145" customWidth="1"/>
    <col min="9478" max="9478" width="8" style="145" customWidth="1"/>
    <col min="9479" max="9479" width="10.28515625" style="145" customWidth="1"/>
    <col min="9480" max="9480" width="7.140625" style="145" customWidth="1"/>
    <col min="9481" max="9481" width="6.85546875" style="145" customWidth="1"/>
    <col min="9482" max="9482" width="11.7109375" style="145" customWidth="1"/>
    <col min="9483" max="9483" width="11.5703125" style="145" customWidth="1"/>
    <col min="9484" max="9484" width="9.140625" style="145"/>
    <col min="9485" max="9485" width="10.5703125" style="145" bestFit="1" customWidth="1"/>
    <col min="9486" max="9486" width="9.140625" style="145"/>
    <col min="9487" max="9487" width="12.140625" style="145" customWidth="1"/>
    <col min="9488" max="9729" width="9.140625" style="145"/>
    <col min="9730" max="9730" width="4" style="145" customWidth="1"/>
    <col min="9731" max="9731" width="10.5703125" style="145" customWidth="1"/>
    <col min="9732" max="9732" width="11.140625" style="145" customWidth="1"/>
    <col min="9733" max="9733" width="8.7109375" style="145" customWidth="1"/>
    <col min="9734" max="9734" width="8" style="145" customWidth="1"/>
    <col min="9735" max="9735" width="10.28515625" style="145" customWidth="1"/>
    <col min="9736" max="9736" width="7.140625" style="145" customWidth="1"/>
    <col min="9737" max="9737" width="6.85546875" style="145" customWidth="1"/>
    <col min="9738" max="9738" width="11.7109375" style="145" customWidth="1"/>
    <col min="9739" max="9739" width="11.5703125" style="145" customWidth="1"/>
    <col min="9740" max="9740" width="9.140625" style="145"/>
    <col min="9741" max="9741" width="10.5703125" style="145" bestFit="1" customWidth="1"/>
    <col min="9742" max="9742" width="9.140625" style="145"/>
    <col min="9743" max="9743" width="12.140625" style="145" customWidth="1"/>
    <col min="9744" max="9985" width="9.140625" style="145"/>
    <col min="9986" max="9986" width="4" style="145" customWidth="1"/>
    <col min="9987" max="9987" width="10.5703125" style="145" customWidth="1"/>
    <col min="9988" max="9988" width="11.140625" style="145" customWidth="1"/>
    <col min="9989" max="9989" width="8.7109375" style="145" customWidth="1"/>
    <col min="9990" max="9990" width="8" style="145" customWidth="1"/>
    <col min="9991" max="9991" width="10.28515625" style="145" customWidth="1"/>
    <col min="9992" max="9992" width="7.140625" style="145" customWidth="1"/>
    <col min="9993" max="9993" width="6.85546875" style="145" customWidth="1"/>
    <col min="9994" max="9994" width="11.7109375" style="145" customWidth="1"/>
    <col min="9995" max="9995" width="11.5703125" style="145" customWidth="1"/>
    <col min="9996" max="9996" width="9.140625" style="145"/>
    <col min="9997" max="9997" width="10.5703125" style="145" bestFit="1" customWidth="1"/>
    <col min="9998" max="9998" width="9.140625" style="145"/>
    <col min="9999" max="9999" width="12.140625" style="145" customWidth="1"/>
    <col min="10000" max="10241" width="9.140625" style="145"/>
    <col min="10242" max="10242" width="4" style="145" customWidth="1"/>
    <col min="10243" max="10243" width="10.5703125" style="145" customWidth="1"/>
    <col min="10244" max="10244" width="11.140625" style="145" customWidth="1"/>
    <col min="10245" max="10245" width="8.7109375" style="145" customWidth="1"/>
    <col min="10246" max="10246" width="8" style="145" customWidth="1"/>
    <col min="10247" max="10247" width="10.28515625" style="145" customWidth="1"/>
    <col min="10248" max="10248" width="7.140625" style="145" customWidth="1"/>
    <col min="10249" max="10249" width="6.85546875" style="145" customWidth="1"/>
    <col min="10250" max="10250" width="11.7109375" style="145" customWidth="1"/>
    <col min="10251" max="10251" width="11.5703125" style="145" customWidth="1"/>
    <col min="10252" max="10252" width="9.140625" style="145"/>
    <col min="10253" max="10253" width="10.5703125" style="145" bestFit="1" customWidth="1"/>
    <col min="10254" max="10254" width="9.140625" style="145"/>
    <col min="10255" max="10255" width="12.140625" style="145" customWidth="1"/>
    <col min="10256" max="10497" width="9.140625" style="145"/>
    <col min="10498" max="10498" width="4" style="145" customWidth="1"/>
    <col min="10499" max="10499" width="10.5703125" style="145" customWidth="1"/>
    <col min="10500" max="10500" width="11.140625" style="145" customWidth="1"/>
    <col min="10501" max="10501" width="8.7109375" style="145" customWidth="1"/>
    <col min="10502" max="10502" width="8" style="145" customWidth="1"/>
    <col min="10503" max="10503" width="10.28515625" style="145" customWidth="1"/>
    <col min="10504" max="10504" width="7.140625" style="145" customWidth="1"/>
    <col min="10505" max="10505" width="6.85546875" style="145" customWidth="1"/>
    <col min="10506" max="10506" width="11.7109375" style="145" customWidth="1"/>
    <col min="10507" max="10507" width="11.5703125" style="145" customWidth="1"/>
    <col min="10508" max="10508" width="9.140625" style="145"/>
    <col min="10509" max="10509" width="10.5703125" style="145" bestFit="1" customWidth="1"/>
    <col min="10510" max="10510" width="9.140625" style="145"/>
    <col min="10511" max="10511" width="12.140625" style="145" customWidth="1"/>
    <col min="10512" max="10753" width="9.140625" style="145"/>
    <col min="10754" max="10754" width="4" style="145" customWidth="1"/>
    <col min="10755" max="10755" width="10.5703125" style="145" customWidth="1"/>
    <col min="10756" max="10756" width="11.140625" style="145" customWidth="1"/>
    <col min="10757" max="10757" width="8.7109375" style="145" customWidth="1"/>
    <col min="10758" max="10758" width="8" style="145" customWidth="1"/>
    <col min="10759" max="10759" width="10.28515625" style="145" customWidth="1"/>
    <col min="10760" max="10760" width="7.140625" style="145" customWidth="1"/>
    <col min="10761" max="10761" width="6.85546875" style="145" customWidth="1"/>
    <col min="10762" max="10762" width="11.7109375" style="145" customWidth="1"/>
    <col min="10763" max="10763" width="11.5703125" style="145" customWidth="1"/>
    <col min="10764" max="10764" width="9.140625" style="145"/>
    <col min="10765" max="10765" width="10.5703125" style="145" bestFit="1" customWidth="1"/>
    <col min="10766" max="10766" width="9.140625" style="145"/>
    <col min="10767" max="10767" width="12.140625" style="145" customWidth="1"/>
    <col min="10768" max="11009" width="9.140625" style="145"/>
    <col min="11010" max="11010" width="4" style="145" customWidth="1"/>
    <col min="11011" max="11011" width="10.5703125" style="145" customWidth="1"/>
    <col min="11012" max="11012" width="11.140625" style="145" customWidth="1"/>
    <col min="11013" max="11013" width="8.7109375" style="145" customWidth="1"/>
    <col min="11014" max="11014" width="8" style="145" customWidth="1"/>
    <col min="11015" max="11015" width="10.28515625" style="145" customWidth="1"/>
    <col min="11016" max="11016" width="7.140625" style="145" customWidth="1"/>
    <col min="11017" max="11017" width="6.85546875" style="145" customWidth="1"/>
    <col min="11018" max="11018" width="11.7109375" style="145" customWidth="1"/>
    <col min="11019" max="11019" width="11.5703125" style="145" customWidth="1"/>
    <col min="11020" max="11020" width="9.140625" style="145"/>
    <col min="11021" max="11021" width="10.5703125" style="145" bestFit="1" customWidth="1"/>
    <col min="11022" max="11022" width="9.140625" style="145"/>
    <col min="11023" max="11023" width="12.140625" style="145" customWidth="1"/>
    <col min="11024" max="11265" width="9.140625" style="145"/>
    <col min="11266" max="11266" width="4" style="145" customWidth="1"/>
    <col min="11267" max="11267" width="10.5703125" style="145" customWidth="1"/>
    <col min="11268" max="11268" width="11.140625" style="145" customWidth="1"/>
    <col min="11269" max="11269" width="8.7109375" style="145" customWidth="1"/>
    <col min="11270" max="11270" width="8" style="145" customWidth="1"/>
    <col min="11271" max="11271" width="10.28515625" style="145" customWidth="1"/>
    <col min="11272" max="11272" width="7.140625" style="145" customWidth="1"/>
    <col min="11273" max="11273" width="6.85546875" style="145" customWidth="1"/>
    <col min="11274" max="11274" width="11.7109375" style="145" customWidth="1"/>
    <col min="11275" max="11275" width="11.5703125" style="145" customWidth="1"/>
    <col min="11276" max="11276" width="9.140625" style="145"/>
    <col min="11277" max="11277" width="10.5703125" style="145" bestFit="1" customWidth="1"/>
    <col min="11278" max="11278" width="9.140625" style="145"/>
    <col min="11279" max="11279" width="12.140625" style="145" customWidth="1"/>
    <col min="11280" max="11521" width="9.140625" style="145"/>
    <col min="11522" max="11522" width="4" style="145" customWidth="1"/>
    <col min="11523" max="11523" width="10.5703125" style="145" customWidth="1"/>
    <col min="11524" max="11524" width="11.140625" style="145" customWidth="1"/>
    <col min="11525" max="11525" width="8.7109375" style="145" customWidth="1"/>
    <col min="11526" max="11526" width="8" style="145" customWidth="1"/>
    <col min="11527" max="11527" width="10.28515625" style="145" customWidth="1"/>
    <col min="11528" max="11528" width="7.140625" style="145" customWidth="1"/>
    <col min="11529" max="11529" width="6.85546875" style="145" customWidth="1"/>
    <col min="11530" max="11530" width="11.7109375" style="145" customWidth="1"/>
    <col min="11531" max="11531" width="11.5703125" style="145" customWidth="1"/>
    <col min="11532" max="11532" width="9.140625" style="145"/>
    <col min="11533" max="11533" width="10.5703125" style="145" bestFit="1" customWidth="1"/>
    <col min="11534" max="11534" width="9.140625" style="145"/>
    <col min="11535" max="11535" width="12.140625" style="145" customWidth="1"/>
    <col min="11536" max="11777" width="9.140625" style="145"/>
    <col min="11778" max="11778" width="4" style="145" customWidth="1"/>
    <col min="11779" max="11779" width="10.5703125" style="145" customWidth="1"/>
    <col min="11780" max="11780" width="11.140625" style="145" customWidth="1"/>
    <col min="11781" max="11781" width="8.7109375" style="145" customWidth="1"/>
    <col min="11782" max="11782" width="8" style="145" customWidth="1"/>
    <col min="11783" max="11783" width="10.28515625" style="145" customWidth="1"/>
    <col min="11784" max="11784" width="7.140625" style="145" customWidth="1"/>
    <col min="11785" max="11785" width="6.85546875" style="145" customWidth="1"/>
    <col min="11786" max="11786" width="11.7109375" style="145" customWidth="1"/>
    <col min="11787" max="11787" width="11.5703125" style="145" customWidth="1"/>
    <col min="11788" max="11788" width="9.140625" style="145"/>
    <col min="11789" max="11789" width="10.5703125" style="145" bestFit="1" customWidth="1"/>
    <col min="11790" max="11790" width="9.140625" style="145"/>
    <col min="11791" max="11791" width="12.140625" style="145" customWidth="1"/>
    <col min="11792" max="12033" width="9.140625" style="145"/>
    <col min="12034" max="12034" width="4" style="145" customWidth="1"/>
    <col min="12035" max="12035" width="10.5703125" style="145" customWidth="1"/>
    <col min="12036" max="12036" width="11.140625" style="145" customWidth="1"/>
    <col min="12037" max="12037" width="8.7109375" style="145" customWidth="1"/>
    <col min="12038" max="12038" width="8" style="145" customWidth="1"/>
    <col min="12039" max="12039" width="10.28515625" style="145" customWidth="1"/>
    <col min="12040" max="12040" width="7.140625" style="145" customWidth="1"/>
    <col min="12041" max="12041" width="6.85546875" style="145" customWidth="1"/>
    <col min="12042" max="12042" width="11.7109375" style="145" customWidth="1"/>
    <col min="12043" max="12043" width="11.5703125" style="145" customWidth="1"/>
    <col min="12044" max="12044" width="9.140625" style="145"/>
    <col min="12045" max="12045" width="10.5703125" style="145" bestFit="1" customWidth="1"/>
    <col min="12046" max="12046" width="9.140625" style="145"/>
    <col min="12047" max="12047" width="12.140625" style="145" customWidth="1"/>
    <col min="12048" max="12289" width="9.140625" style="145"/>
    <col min="12290" max="12290" width="4" style="145" customWidth="1"/>
    <col min="12291" max="12291" width="10.5703125" style="145" customWidth="1"/>
    <col min="12292" max="12292" width="11.140625" style="145" customWidth="1"/>
    <col min="12293" max="12293" width="8.7109375" style="145" customWidth="1"/>
    <col min="12294" max="12294" width="8" style="145" customWidth="1"/>
    <col min="12295" max="12295" width="10.28515625" style="145" customWidth="1"/>
    <col min="12296" max="12296" width="7.140625" style="145" customWidth="1"/>
    <col min="12297" max="12297" width="6.85546875" style="145" customWidth="1"/>
    <col min="12298" max="12298" width="11.7109375" style="145" customWidth="1"/>
    <col min="12299" max="12299" width="11.5703125" style="145" customWidth="1"/>
    <col min="12300" max="12300" width="9.140625" style="145"/>
    <col min="12301" max="12301" width="10.5703125" style="145" bestFit="1" customWidth="1"/>
    <col min="12302" max="12302" width="9.140625" style="145"/>
    <col min="12303" max="12303" width="12.140625" style="145" customWidth="1"/>
    <col min="12304" max="12545" width="9.140625" style="145"/>
    <col min="12546" max="12546" width="4" style="145" customWidth="1"/>
    <col min="12547" max="12547" width="10.5703125" style="145" customWidth="1"/>
    <col min="12548" max="12548" width="11.140625" style="145" customWidth="1"/>
    <col min="12549" max="12549" width="8.7109375" style="145" customWidth="1"/>
    <col min="12550" max="12550" width="8" style="145" customWidth="1"/>
    <col min="12551" max="12551" width="10.28515625" style="145" customWidth="1"/>
    <col min="12552" max="12552" width="7.140625" style="145" customWidth="1"/>
    <col min="12553" max="12553" width="6.85546875" style="145" customWidth="1"/>
    <col min="12554" max="12554" width="11.7109375" style="145" customWidth="1"/>
    <col min="12555" max="12555" width="11.5703125" style="145" customWidth="1"/>
    <col min="12556" max="12556" width="9.140625" style="145"/>
    <col min="12557" max="12557" width="10.5703125" style="145" bestFit="1" customWidth="1"/>
    <col min="12558" max="12558" width="9.140625" style="145"/>
    <col min="12559" max="12559" width="12.140625" style="145" customWidth="1"/>
    <col min="12560" max="12801" width="9.140625" style="145"/>
    <col min="12802" max="12802" width="4" style="145" customWidth="1"/>
    <col min="12803" max="12803" width="10.5703125" style="145" customWidth="1"/>
    <col min="12804" max="12804" width="11.140625" style="145" customWidth="1"/>
    <col min="12805" max="12805" width="8.7109375" style="145" customWidth="1"/>
    <col min="12806" max="12806" width="8" style="145" customWidth="1"/>
    <col min="12807" max="12807" width="10.28515625" style="145" customWidth="1"/>
    <col min="12808" max="12808" width="7.140625" style="145" customWidth="1"/>
    <col min="12809" max="12809" width="6.85546875" style="145" customWidth="1"/>
    <col min="12810" max="12810" width="11.7109375" style="145" customWidth="1"/>
    <col min="12811" max="12811" width="11.5703125" style="145" customWidth="1"/>
    <col min="12812" max="12812" width="9.140625" style="145"/>
    <col min="12813" max="12813" width="10.5703125" style="145" bestFit="1" customWidth="1"/>
    <col min="12814" max="12814" width="9.140625" style="145"/>
    <col min="12815" max="12815" width="12.140625" style="145" customWidth="1"/>
    <col min="12816" max="13057" width="9.140625" style="145"/>
    <col min="13058" max="13058" width="4" style="145" customWidth="1"/>
    <col min="13059" max="13059" width="10.5703125" style="145" customWidth="1"/>
    <col min="13060" max="13060" width="11.140625" style="145" customWidth="1"/>
    <col min="13061" max="13061" width="8.7109375" style="145" customWidth="1"/>
    <col min="13062" max="13062" width="8" style="145" customWidth="1"/>
    <col min="13063" max="13063" width="10.28515625" style="145" customWidth="1"/>
    <col min="13064" max="13064" width="7.140625" style="145" customWidth="1"/>
    <col min="13065" max="13065" width="6.85546875" style="145" customWidth="1"/>
    <col min="13066" max="13066" width="11.7109375" style="145" customWidth="1"/>
    <col min="13067" max="13067" width="11.5703125" style="145" customWidth="1"/>
    <col min="13068" max="13068" width="9.140625" style="145"/>
    <col min="13069" max="13069" width="10.5703125" style="145" bestFit="1" customWidth="1"/>
    <col min="13070" max="13070" width="9.140625" style="145"/>
    <col min="13071" max="13071" width="12.140625" style="145" customWidth="1"/>
    <col min="13072" max="13313" width="9.140625" style="145"/>
    <col min="13314" max="13314" width="4" style="145" customWidth="1"/>
    <col min="13315" max="13315" width="10.5703125" style="145" customWidth="1"/>
    <col min="13316" max="13316" width="11.140625" style="145" customWidth="1"/>
    <col min="13317" max="13317" width="8.7109375" style="145" customWidth="1"/>
    <col min="13318" max="13318" width="8" style="145" customWidth="1"/>
    <col min="13319" max="13319" width="10.28515625" style="145" customWidth="1"/>
    <col min="13320" max="13320" width="7.140625" style="145" customWidth="1"/>
    <col min="13321" max="13321" width="6.85546875" style="145" customWidth="1"/>
    <col min="13322" max="13322" width="11.7109375" style="145" customWidth="1"/>
    <col min="13323" max="13323" width="11.5703125" style="145" customWidth="1"/>
    <col min="13324" max="13324" width="9.140625" style="145"/>
    <col min="13325" max="13325" width="10.5703125" style="145" bestFit="1" customWidth="1"/>
    <col min="13326" max="13326" width="9.140625" style="145"/>
    <col min="13327" max="13327" width="12.140625" style="145" customWidth="1"/>
    <col min="13328" max="13569" width="9.140625" style="145"/>
    <col min="13570" max="13570" width="4" style="145" customWidth="1"/>
    <col min="13571" max="13571" width="10.5703125" style="145" customWidth="1"/>
    <col min="13572" max="13572" width="11.140625" style="145" customWidth="1"/>
    <col min="13573" max="13573" width="8.7109375" style="145" customWidth="1"/>
    <col min="13574" max="13574" width="8" style="145" customWidth="1"/>
    <col min="13575" max="13575" width="10.28515625" style="145" customWidth="1"/>
    <col min="13576" max="13576" width="7.140625" style="145" customWidth="1"/>
    <col min="13577" max="13577" width="6.85546875" style="145" customWidth="1"/>
    <col min="13578" max="13578" width="11.7109375" style="145" customWidth="1"/>
    <col min="13579" max="13579" width="11.5703125" style="145" customWidth="1"/>
    <col min="13580" max="13580" width="9.140625" style="145"/>
    <col min="13581" max="13581" width="10.5703125" style="145" bestFit="1" customWidth="1"/>
    <col min="13582" max="13582" width="9.140625" style="145"/>
    <col min="13583" max="13583" width="12.140625" style="145" customWidth="1"/>
    <col min="13584" max="13825" width="9.140625" style="145"/>
    <col min="13826" max="13826" width="4" style="145" customWidth="1"/>
    <col min="13827" max="13827" width="10.5703125" style="145" customWidth="1"/>
    <col min="13828" max="13828" width="11.140625" style="145" customWidth="1"/>
    <col min="13829" max="13829" width="8.7109375" style="145" customWidth="1"/>
    <col min="13830" max="13830" width="8" style="145" customWidth="1"/>
    <col min="13831" max="13831" width="10.28515625" style="145" customWidth="1"/>
    <col min="13832" max="13832" width="7.140625" style="145" customWidth="1"/>
    <col min="13833" max="13833" width="6.85546875" style="145" customWidth="1"/>
    <col min="13834" max="13834" width="11.7109375" style="145" customWidth="1"/>
    <col min="13835" max="13835" width="11.5703125" style="145" customWidth="1"/>
    <col min="13836" max="13836" width="9.140625" style="145"/>
    <col min="13837" max="13837" width="10.5703125" style="145" bestFit="1" customWidth="1"/>
    <col min="13838" max="13838" width="9.140625" style="145"/>
    <col min="13839" max="13839" width="12.140625" style="145" customWidth="1"/>
    <col min="13840" max="14081" width="9.140625" style="145"/>
    <col min="14082" max="14082" width="4" style="145" customWidth="1"/>
    <col min="14083" max="14083" width="10.5703125" style="145" customWidth="1"/>
    <col min="14084" max="14084" width="11.140625" style="145" customWidth="1"/>
    <col min="14085" max="14085" width="8.7109375" style="145" customWidth="1"/>
    <col min="14086" max="14086" width="8" style="145" customWidth="1"/>
    <col min="14087" max="14087" width="10.28515625" style="145" customWidth="1"/>
    <col min="14088" max="14088" width="7.140625" style="145" customWidth="1"/>
    <col min="14089" max="14089" width="6.85546875" style="145" customWidth="1"/>
    <col min="14090" max="14090" width="11.7109375" style="145" customWidth="1"/>
    <col min="14091" max="14091" width="11.5703125" style="145" customWidth="1"/>
    <col min="14092" max="14092" width="9.140625" style="145"/>
    <col min="14093" max="14093" width="10.5703125" style="145" bestFit="1" customWidth="1"/>
    <col min="14094" max="14094" width="9.140625" style="145"/>
    <col min="14095" max="14095" width="12.140625" style="145" customWidth="1"/>
    <col min="14096" max="14337" width="9.140625" style="145"/>
    <col min="14338" max="14338" width="4" style="145" customWidth="1"/>
    <col min="14339" max="14339" width="10.5703125" style="145" customWidth="1"/>
    <col min="14340" max="14340" width="11.140625" style="145" customWidth="1"/>
    <col min="14341" max="14341" width="8.7109375" style="145" customWidth="1"/>
    <col min="14342" max="14342" width="8" style="145" customWidth="1"/>
    <col min="14343" max="14343" width="10.28515625" style="145" customWidth="1"/>
    <col min="14344" max="14344" width="7.140625" style="145" customWidth="1"/>
    <col min="14345" max="14345" width="6.85546875" style="145" customWidth="1"/>
    <col min="14346" max="14346" width="11.7109375" style="145" customWidth="1"/>
    <col min="14347" max="14347" width="11.5703125" style="145" customWidth="1"/>
    <col min="14348" max="14348" width="9.140625" style="145"/>
    <col min="14349" max="14349" width="10.5703125" style="145" bestFit="1" customWidth="1"/>
    <col min="14350" max="14350" width="9.140625" style="145"/>
    <col min="14351" max="14351" width="12.140625" style="145" customWidth="1"/>
    <col min="14352" max="14593" width="9.140625" style="145"/>
    <col min="14594" max="14594" width="4" style="145" customWidth="1"/>
    <col min="14595" max="14595" width="10.5703125" style="145" customWidth="1"/>
    <col min="14596" max="14596" width="11.140625" style="145" customWidth="1"/>
    <col min="14597" max="14597" width="8.7109375" style="145" customWidth="1"/>
    <col min="14598" max="14598" width="8" style="145" customWidth="1"/>
    <col min="14599" max="14599" width="10.28515625" style="145" customWidth="1"/>
    <col min="14600" max="14600" width="7.140625" style="145" customWidth="1"/>
    <col min="14601" max="14601" width="6.85546875" style="145" customWidth="1"/>
    <col min="14602" max="14602" width="11.7109375" style="145" customWidth="1"/>
    <col min="14603" max="14603" width="11.5703125" style="145" customWidth="1"/>
    <col min="14604" max="14604" width="9.140625" style="145"/>
    <col min="14605" max="14605" width="10.5703125" style="145" bestFit="1" customWidth="1"/>
    <col min="14606" max="14606" width="9.140625" style="145"/>
    <col min="14607" max="14607" width="12.140625" style="145" customWidth="1"/>
    <col min="14608" max="14849" width="9.140625" style="145"/>
    <col min="14850" max="14850" width="4" style="145" customWidth="1"/>
    <col min="14851" max="14851" width="10.5703125" style="145" customWidth="1"/>
    <col min="14852" max="14852" width="11.140625" style="145" customWidth="1"/>
    <col min="14853" max="14853" width="8.7109375" style="145" customWidth="1"/>
    <col min="14854" max="14854" width="8" style="145" customWidth="1"/>
    <col min="14855" max="14855" width="10.28515625" style="145" customWidth="1"/>
    <col min="14856" max="14856" width="7.140625" style="145" customWidth="1"/>
    <col min="14857" max="14857" width="6.85546875" style="145" customWidth="1"/>
    <col min="14858" max="14858" width="11.7109375" style="145" customWidth="1"/>
    <col min="14859" max="14859" width="11.5703125" style="145" customWidth="1"/>
    <col min="14860" max="14860" width="9.140625" style="145"/>
    <col min="14861" max="14861" width="10.5703125" style="145" bestFit="1" customWidth="1"/>
    <col min="14862" max="14862" width="9.140625" style="145"/>
    <col min="14863" max="14863" width="12.140625" style="145" customWidth="1"/>
    <col min="14864" max="15105" width="9.140625" style="145"/>
    <col min="15106" max="15106" width="4" style="145" customWidth="1"/>
    <col min="15107" max="15107" width="10.5703125" style="145" customWidth="1"/>
    <col min="15108" max="15108" width="11.140625" style="145" customWidth="1"/>
    <col min="15109" max="15109" width="8.7109375" style="145" customWidth="1"/>
    <col min="15110" max="15110" width="8" style="145" customWidth="1"/>
    <col min="15111" max="15111" width="10.28515625" style="145" customWidth="1"/>
    <col min="15112" max="15112" width="7.140625" style="145" customWidth="1"/>
    <col min="15113" max="15113" width="6.85546875" style="145" customWidth="1"/>
    <col min="15114" max="15114" width="11.7109375" style="145" customWidth="1"/>
    <col min="15115" max="15115" width="11.5703125" style="145" customWidth="1"/>
    <col min="15116" max="15116" width="9.140625" style="145"/>
    <col min="15117" max="15117" width="10.5703125" style="145" bestFit="1" customWidth="1"/>
    <col min="15118" max="15118" width="9.140625" style="145"/>
    <col min="15119" max="15119" width="12.140625" style="145" customWidth="1"/>
    <col min="15120" max="15361" width="9.140625" style="145"/>
    <col min="15362" max="15362" width="4" style="145" customWidth="1"/>
    <col min="15363" max="15363" width="10.5703125" style="145" customWidth="1"/>
    <col min="15364" max="15364" width="11.140625" style="145" customWidth="1"/>
    <col min="15365" max="15365" width="8.7109375" style="145" customWidth="1"/>
    <col min="15366" max="15366" width="8" style="145" customWidth="1"/>
    <col min="15367" max="15367" width="10.28515625" style="145" customWidth="1"/>
    <col min="15368" max="15368" width="7.140625" style="145" customWidth="1"/>
    <col min="15369" max="15369" width="6.85546875" style="145" customWidth="1"/>
    <col min="15370" max="15370" width="11.7109375" style="145" customWidth="1"/>
    <col min="15371" max="15371" width="11.5703125" style="145" customWidth="1"/>
    <col min="15372" max="15372" width="9.140625" style="145"/>
    <col min="15373" max="15373" width="10.5703125" style="145" bestFit="1" customWidth="1"/>
    <col min="15374" max="15374" width="9.140625" style="145"/>
    <col min="15375" max="15375" width="12.140625" style="145" customWidth="1"/>
    <col min="15376" max="15617" width="9.140625" style="145"/>
    <col min="15618" max="15618" width="4" style="145" customWidth="1"/>
    <col min="15619" max="15619" width="10.5703125" style="145" customWidth="1"/>
    <col min="15620" max="15620" width="11.140625" style="145" customWidth="1"/>
    <col min="15621" max="15621" width="8.7109375" style="145" customWidth="1"/>
    <col min="15622" max="15622" width="8" style="145" customWidth="1"/>
    <col min="15623" max="15623" width="10.28515625" style="145" customWidth="1"/>
    <col min="15624" max="15624" width="7.140625" style="145" customWidth="1"/>
    <col min="15625" max="15625" width="6.85546875" style="145" customWidth="1"/>
    <col min="15626" max="15626" width="11.7109375" style="145" customWidth="1"/>
    <col min="15627" max="15627" width="11.5703125" style="145" customWidth="1"/>
    <col min="15628" max="15628" width="9.140625" style="145"/>
    <col min="15629" max="15629" width="10.5703125" style="145" bestFit="1" customWidth="1"/>
    <col min="15630" max="15630" width="9.140625" style="145"/>
    <col min="15631" max="15631" width="12.140625" style="145" customWidth="1"/>
    <col min="15632" max="15873" width="9.140625" style="145"/>
    <col min="15874" max="15874" width="4" style="145" customWidth="1"/>
    <col min="15875" max="15875" width="10.5703125" style="145" customWidth="1"/>
    <col min="15876" max="15876" width="11.140625" style="145" customWidth="1"/>
    <col min="15877" max="15877" width="8.7109375" style="145" customWidth="1"/>
    <col min="15878" max="15878" width="8" style="145" customWidth="1"/>
    <col min="15879" max="15879" width="10.28515625" style="145" customWidth="1"/>
    <col min="15880" max="15880" width="7.140625" style="145" customWidth="1"/>
    <col min="15881" max="15881" width="6.85546875" style="145" customWidth="1"/>
    <col min="15882" max="15882" width="11.7109375" style="145" customWidth="1"/>
    <col min="15883" max="15883" width="11.5703125" style="145" customWidth="1"/>
    <col min="15884" max="15884" width="9.140625" style="145"/>
    <col min="15885" max="15885" width="10.5703125" style="145" bestFit="1" customWidth="1"/>
    <col min="15886" max="15886" width="9.140625" style="145"/>
    <col min="15887" max="15887" width="12.140625" style="145" customWidth="1"/>
    <col min="15888" max="16129" width="9.140625" style="145"/>
    <col min="16130" max="16130" width="4" style="145" customWidth="1"/>
    <col min="16131" max="16131" width="10.5703125" style="145" customWidth="1"/>
    <col min="16132" max="16132" width="11.140625" style="145" customWidth="1"/>
    <col min="16133" max="16133" width="8.7109375" style="145" customWidth="1"/>
    <col min="16134" max="16134" width="8" style="145" customWidth="1"/>
    <col min="16135" max="16135" width="10.28515625" style="145" customWidth="1"/>
    <col min="16136" max="16136" width="7.140625" style="145" customWidth="1"/>
    <col min="16137" max="16137" width="6.85546875" style="145" customWidth="1"/>
    <col min="16138" max="16138" width="11.7109375" style="145" customWidth="1"/>
    <col min="16139" max="16139" width="11.5703125" style="145" customWidth="1"/>
    <col min="16140" max="16140" width="9.140625" style="145"/>
    <col min="16141" max="16141" width="10.5703125" style="145" bestFit="1" customWidth="1"/>
    <col min="16142" max="16142" width="9.140625" style="145"/>
    <col min="16143" max="16143" width="12.140625" style="145" customWidth="1"/>
    <col min="16144" max="16384" width="9.140625" style="145"/>
  </cols>
  <sheetData>
    <row r="1" spans="1:13" ht="30.75" customHeight="1" x14ac:dyDescent="0.25">
      <c r="A1" s="1142" t="s">
        <v>115</v>
      </c>
      <c r="B1" s="1142"/>
      <c r="C1" s="1142"/>
      <c r="D1" s="1142"/>
      <c r="E1" s="1142"/>
      <c r="F1" s="1142"/>
      <c r="G1" s="1142"/>
      <c r="H1" s="1142"/>
      <c r="I1" s="1142"/>
      <c r="J1" s="1142"/>
      <c r="K1" s="155"/>
    </row>
    <row r="3" spans="1:13" ht="15.75" x14ac:dyDescent="0.25">
      <c r="A3" s="1143" t="s">
        <v>384</v>
      </c>
      <c r="B3" s="1143"/>
      <c r="C3" s="1143"/>
      <c r="D3" s="1143"/>
      <c r="E3" s="1143"/>
      <c r="F3" s="1143"/>
      <c r="G3" s="1143"/>
      <c r="H3" s="1143"/>
      <c r="I3" s="1143"/>
      <c r="J3" s="1143"/>
      <c r="K3" s="201"/>
    </row>
    <row r="4" spans="1:13" ht="15" customHeight="1" x14ac:dyDescent="0.25">
      <c r="A4" s="1170" t="str">
        <f>'СВОД смет'!A7:H7</f>
        <v>на 2020 год</v>
      </c>
      <c r="B4" s="1170"/>
      <c r="C4" s="1170"/>
      <c r="D4" s="1170"/>
      <c r="E4" s="1170"/>
      <c r="F4" s="1170"/>
      <c r="G4" s="1170"/>
      <c r="H4" s="1170"/>
      <c r="I4" s="1170"/>
      <c r="J4" s="1170"/>
      <c r="K4" s="202"/>
    </row>
    <row r="6" spans="1:13" x14ac:dyDescent="0.25">
      <c r="A6" s="1155" t="s">
        <v>399</v>
      </c>
      <c r="B6" s="1155"/>
      <c r="C6" s="1155"/>
      <c r="D6" s="1155"/>
      <c r="E6" s="1155"/>
      <c r="F6" s="1155"/>
      <c r="G6" s="1155"/>
      <c r="H6" s="1155"/>
      <c r="I6" s="1155"/>
      <c r="J6" s="1155"/>
      <c r="K6" s="177"/>
    </row>
    <row r="7" spans="1:13" ht="24" customHeight="1" x14ac:dyDescent="0.25">
      <c r="A7" s="163" t="s">
        <v>258</v>
      </c>
      <c r="B7" s="1159" t="s">
        <v>492</v>
      </c>
      <c r="C7" s="1159"/>
      <c r="D7" s="161" t="s">
        <v>343</v>
      </c>
      <c r="E7" s="162" t="s">
        <v>389</v>
      </c>
      <c r="F7" s="163" t="s">
        <v>400</v>
      </c>
      <c r="G7" s="1160" t="s">
        <v>401</v>
      </c>
      <c r="H7" s="1161"/>
      <c r="I7" s="188" t="s">
        <v>412</v>
      </c>
      <c r="J7" s="163" t="s">
        <v>402</v>
      </c>
    </row>
    <row r="8" spans="1:13" x14ac:dyDescent="0.25">
      <c r="A8" s="165">
        <v>1</v>
      </c>
      <c r="B8" s="1162">
        <v>2</v>
      </c>
      <c r="C8" s="1162"/>
      <c r="D8" s="165">
        <v>3</v>
      </c>
      <c r="E8" s="165">
        <v>4</v>
      </c>
      <c r="F8" s="165">
        <v>5</v>
      </c>
      <c r="G8" s="1165">
        <v>6</v>
      </c>
      <c r="H8" s="1166"/>
      <c r="I8" s="189">
        <v>7</v>
      </c>
      <c r="J8" s="166">
        <v>8</v>
      </c>
    </row>
    <row r="9" spans="1:13" ht="54" customHeight="1" x14ac:dyDescent="0.25">
      <c r="A9" s="166">
        <v>1</v>
      </c>
      <c r="B9" s="1167" t="s">
        <v>403</v>
      </c>
      <c r="C9" s="1167"/>
      <c r="D9" s="195">
        <v>221</v>
      </c>
      <c r="E9" s="193"/>
      <c r="F9" s="244" t="s">
        <v>729</v>
      </c>
      <c r="G9" s="1168">
        <v>5500</v>
      </c>
      <c r="H9" s="1169"/>
      <c r="I9" s="443">
        <v>1.0369999999999999</v>
      </c>
      <c r="J9" s="222">
        <f>ROUND((G9)/1000,1)</f>
        <v>5.5</v>
      </c>
      <c r="K9" s="179"/>
      <c r="M9" s="180"/>
    </row>
    <row r="10" spans="1:13" x14ac:dyDescent="0.25">
      <c r="A10" s="1157" t="s">
        <v>404</v>
      </c>
      <c r="B10" s="1158"/>
      <c r="C10" s="1158"/>
      <c r="D10" s="1158"/>
      <c r="E10" s="1158"/>
      <c r="F10" s="1158"/>
      <c r="G10" s="1158"/>
      <c r="H10" s="1158"/>
      <c r="I10" s="1171"/>
      <c r="J10" s="275">
        <f>SUM(J9:J9)</f>
        <v>5.5</v>
      </c>
      <c r="M10" s="181"/>
    </row>
    <row r="11" spans="1:13" x14ac:dyDescent="0.25">
      <c r="M11" s="181"/>
    </row>
    <row r="12" spans="1:13" x14ac:dyDescent="0.25">
      <c r="A12" s="1178" t="s">
        <v>405</v>
      </c>
      <c r="B12" s="1178"/>
      <c r="C12" s="1178"/>
      <c r="D12" s="1178"/>
      <c r="E12" s="1178"/>
      <c r="F12" s="1178"/>
      <c r="G12" s="1178"/>
      <c r="H12" s="1178"/>
      <c r="I12" s="1178"/>
      <c r="J12" s="1178"/>
      <c r="K12" s="190"/>
      <c r="M12" s="181"/>
    </row>
    <row r="13" spans="1:13" ht="24" customHeight="1" x14ac:dyDescent="0.25">
      <c r="A13" s="163" t="s">
        <v>258</v>
      </c>
      <c r="B13" s="1159" t="s">
        <v>492</v>
      </c>
      <c r="C13" s="1159"/>
      <c r="D13" s="161" t="s">
        <v>343</v>
      </c>
      <c r="E13" s="162" t="s">
        <v>389</v>
      </c>
      <c r="F13" s="1159" t="s">
        <v>413</v>
      </c>
      <c r="G13" s="1159"/>
      <c r="H13" s="1159" t="s">
        <v>401</v>
      </c>
      <c r="I13" s="1159"/>
      <c r="J13" s="163" t="s">
        <v>402</v>
      </c>
      <c r="K13" s="146"/>
      <c r="M13" s="181"/>
    </row>
    <row r="14" spans="1:13" x14ac:dyDescent="0.25">
      <c r="A14" s="165">
        <v>1</v>
      </c>
      <c r="B14" s="1162">
        <v>2</v>
      </c>
      <c r="C14" s="1162"/>
      <c r="D14" s="165">
        <v>3</v>
      </c>
      <c r="E14" s="165">
        <v>4</v>
      </c>
      <c r="F14" s="1162">
        <v>5</v>
      </c>
      <c r="G14" s="1162"/>
      <c r="H14" s="1172">
        <v>6</v>
      </c>
      <c r="I14" s="1172"/>
      <c r="J14" s="165">
        <v>7</v>
      </c>
      <c r="M14" s="181"/>
    </row>
    <row r="15" spans="1:13" ht="37.5" customHeight="1" x14ac:dyDescent="0.25">
      <c r="A15" s="166">
        <v>1</v>
      </c>
      <c r="B15" s="1167" t="s">
        <v>407</v>
      </c>
      <c r="C15" s="1167"/>
      <c r="D15" s="195">
        <v>226</v>
      </c>
      <c r="E15" s="233" t="s">
        <v>362</v>
      </c>
      <c r="F15" s="1177">
        <v>1</v>
      </c>
      <c r="G15" s="1177"/>
      <c r="H15" s="1173">
        <v>4500</v>
      </c>
      <c r="I15" s="1174"/>
      <c r="J15" s="281">
        <f>ROUND(H15/1000,1)</f>
        <v>4.5</v>
      </c>
      <c r="L15" s="179"/>
      <c r="M15" s="180"/>
    </row>
    <row r="16" spans="1:13" ht="64.5" hidden="1" customHeight="1" x14ac:dyDescent="0.25">
      <c r="A16" s="166">
        <v>2</v>
      </c>
      <c r="B16" s="1180" t="s">
        <v>408</v>
      </c>
      <c r="C16" s="1181"/>
      <c r="D16" s="184">
        <v>226</v>
      </c>
      <c r="E16" s="186" t="s">
        <v>362</v>
      </c>
      <c r="F16" s="1163">
        <v>5</v>
      </c>
      <c r="G16" s="1164"/>
      <c r="H16" s="1175">
        <v>1000</v>
      </c>
      <c r="I16" s="1176"/>
      <c r="J16" s="182"/>
      <c r="L16" s="179"/>
      <c r="M16" s="180"/>
    </row>
    <row r="17" spans="1:16" x14ac:dyDescent="0.25">
      <c r="A17" s="1179" t="s">
        <v>409</v>
      </c>
      <c r="B17" s="1179"/>
      <c r="C17" s="1179"/>
      <c r="D17" s="1179"/>
      <c r="E17" s="1179"/>
      <c r="F17" s="1179"/>
      <c r="G17" s="1179"/>
      <c r="H17" s="1179"/>
      <c r="I17" s="1179"/>
      <c r="J17" s="275">
        <f>SUM(J15:J16)</f>
        <v>4.5</v>
      </c>
      <c r="M17" s="146"/>
      <c r="N17" s="146"/>
      <c r="O17" s="146"/>
      <c r="P17" s="146"/>
    </row>
    <row r="18" spans="1:16" x14ac:dyDescent="0.25">
      <c r="M18" s="146"/>
      <c r="N18" s="146"/>
      <c r="O18" s="146"/>
      <c r="P18" s="146"/>
    </row>
    <row r="19" spans="1:16" x14ac:dyDescent="0.25">
      <c r="M19" s="146"/>
      <c r="N19" s="146"/>
      <c r="O19" s="185"/>
      <c r="P19" s="183"/>
    </row>
    <row r="20" spans="1:16" x14ac:dyDescent="0.25">
      <c r="B20" s="1150" t="s">
        <v>397</v>
      </c>
      <c r="C20" s="1150"/>
      <c r="D20" s="1150"/>
      <c r="E20" s="168"/>
      <c r="F20" s="1151"/>
      <c r="G20" s="1151"/>
      <c r="H20" s="168"/>
      <c r="I20" s="1151" t="str">
        <f>рВДЛ!G32</f>
        <v>М.В. Златова</v>
      </c>
      <c r="J20" s="1151"/>
      <c r="M20" s="146"/>
      <c r="N20" s="146"/>
      <c r="O20" s="146"/>
      <c r="P20" s="146"/>
    </row>
    <row r="21" spans="1:16" x14ac:dyDescent="0.25">
      <c r="B21" s="1148" t="s">
        <v>329</v>
      </c>
      <c r="C21" s="1148"/>
      <c r="D21" s="1148"/>
      <c r="E21" s="169"/>
      <c r="F21" s="1148" t="s">
        <v>330</v>
      </c>
      <c r="G21" s="1148"/>
      <c r="H21" s="169"/>
      <c r="I21" s="1149" t="s">
        <v>331</v>
      </c>
      <c r="J21" s="1149"/>
    </row>
    <row r="22" spans="1:16" x14ac:dyDescent="0.25">
      <c r="B22" s="1150" t="str">
        <f>рВДЛ!A34</f>
        <v>Исполнитель: финансист</v>
      </c>
      <c r="C22" s="1150"/>
      <c r="D22" s="1150"/>
      <c r="E22" s="168"/>
      <c r="F22" s="1151"/>
      <c r="G22" s="1151"/>
      <c r="H22" s="168"/>
      <c r="I22" s="1151" t="str">
        <f>рВДЛ!G34</f>
        <v>Е.Н. Рыбалка</v>
      </c>
      <c r="J22" s="1151"/>
    </row>
    <row r="23" spans="1:16" x14ac:dyDescent="0.25">
      <c r="B23" s="1148" t="s">
        <v>329</v>
      </c>
      <c r="C23" s="1148"/>
      <c r="D23" s="1148"/>
      <c r="E23" s="169"/>
      <c r="F23" s="1148" t="s">
        <v>330</v>
      </c>
      <c r="G23" s="1148"/>
      <c r="H23" s="169"/>
      <c r="I23" s="1149" t="s">
        <v>331</v>
      </c>
      <c r="J23" s="1149"/>
    </row>
  </sheetData>
  <mergeCells count="37">
    <mergeCell ref="A17:I17"/>
    <mergeCell ref="B23:D23"/>
    <mergeCell ref="F23:G23"/>
    <mergeCell ref="I23:J23"/>
    <mergeCell ref="B13:C13"/>
    <mergeCell ref="B21:D21"/>
    <mergeCell ref="F21:G21"/>
    <mergeCell ref="I21:J21"/>
    <mergeCell ref="B22:D22"/>
    <mergeCell ref="F22:G22"/>
    <mergeCell ref="I22:J22"/>
    <mergeCell ref="B20:D20"/>
    <mergeCell ref="F20:G20"/>
    <mergeCell ref="I20:J20"/>
    <mergeCell ref="B16:C16"/>
    <mergeCell ref="H13:I13"/>
    <mergeCell ref="F16:G16"/>
    <mergeCell ref="G8:H8"/>
    <mergeCell ref="B9:C9"/>
    <mergeCell ref="G9:H9"/>
    <mergeCell ref="A3:J3"/>
    <mergeCell ref="A4:J4"/>
    <mergeCell ref="A10:I10"/>
    <mergeCell ref="H14:I14"/>
    <mergeCell ref="H15:I15"/>
    <mergeCell ref="H16:I16"/>
    <mergeCell ref="F13:G13"/>
    <mergeCell ref="F14:G14"/>
    <mergeCell ref="F15:G15"/>
    <mergeCell ref="A12:J12"/>
    <mergeCell ref="B14:C14"/>
    <mergeCell ref="B15:C15"/>
    <mergeCell ref="A6:J6"/>
    <mergeCell ref="B7:C7"/>
    <mergeCell ref="G7:H7"/>
    <mergeCell ref="B8:C8"/>
    <mergeCell ref="A1:J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43</vt:i4>
      </vt:variant>
      <vt:variant>
        <vt:lpstr>Именованные диапазоны</vt:lpstr>
      </vt:variant>
      <vt:variant>
        <vt:i4>6</vt:i4>
      </vt:variant>
    </vt:vector>
  </HeadingPairs>
  <TitlesOfParts>
    <vt:vector size="49" baseType="lpstr">
      <vt:lpstr>Доходы</vt:lpstr>
      <vt:lpstr>Расходы</vt:lpstr>
      <vt:lpstr>Дефицит</vt:lpstr>
      <vt:lpstr>РасчетДоходов</vt:lpstr>
      <vt:lpstr>СВОД смет</vt:lpstr>
      <vt:lpstr>сВДЛ</vt:lpstr>
      <vt:lpstr>рВДЛ</vt:lpstr>
      <vt:lpstr>сДеп</vt:lpstr>
      <vt:lpstr>рДеп</vt:lpstr>
      <vt:lpstr>сКомУсл</vt:lpstr>
      <vt:lpstr>рКомУсл</vt:lpstr>
      <vt:lpstr>сЗП</vt:lpstr>
      <vt:lpstr>рЗП</vt:lpstr>
      <vt:lpstr>сАУП</vt:lpstr>
      <vt:lpstr>рАУП</vt:lpstr>
      <vt:lpstr>сКСП</vt:lpstr>
      <vt:lpstr>рКСП</vt:lpstr>
      <vt:lpstr>сВыборы</vt:lpstr>
      <vt:lpstr>рВыборы</vt:lpstr>
      <vt:lpstr>сРезерв</vt:lpstr>
      <vt:lpstr>рРезерв</vt:lpstr>
      <vt:lpstr>сДругие</vt:lpstr>
      <vt:lpstr>рДругие</vt:lpstr>
      <vt:lpstr>сПВУ</vt:lpstr>
      <vt:lpstr>рПВУ</vt:lpstr>
      <vt:lpstr>сГОиЧС</vt:lpstr>
      <vt:lpstr>рГОиЧС</vt:lpstr>
      <vt:lpstr>сДороги</vt:lpstr>
      <vt:lpstr>рДороги</vt:lpstr>
      <vt:lpstr>сНацЭкон</vt:lpstr>
      <vt:lpstr>рНацЭкон</vt:lpstr>
      <vt:lpstr>сЖилфонд</vt:lpstr>
      <vt:lpstr>рЖилфонд</vt:lpstr>
      <vt:lpstr>сКомХоз</vt:lpstr>
      <vt:lpstr>рКомХоз</vt:lpstr>
      <vt:lpstr>сБлагоуст</vt:lpstr>
      <vt:lpstr>рБлагоус</vt:lpstr>
      <vt:lpstr>сРитуал</vt:lpstr>
      <vt:lpstr>рРитуал</vt:lpstr>
      <vt:lpstr>сПенс</vt:lpstr>
      <vt:lpstr>рПенс</vt:lpstr>
      <vt:lpstr>сНадгроб</vt:lpstr>
      <vt:lpstr>рНадгроб</vt:lpstr>
      <vt:lpstr>Дефицит!Область_печати</vt:lpstr>
      <vt:lpstr>Доходы!Область_печати</vt:lpstr>
      <vt:lpstr>Расходы!Область_печати</vt:lpstr>
      <vt:lpstr>сАУП!Область_печати</vt:lpstr>
      <vt:lpstr>'СВОД смет'!Область_печати</vt:lpstr>
      <vt:lpstr>сЗП!Область_печати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2020-12-28T10:29:48Z</dcterms:modified>
</cp:coreProperties>
</file>